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'!$E$1:$Q$197</definedName>
    <definedName name="_xlnm.Print_Titles" localSheetId="0">'дод 3 '!$7:$11</definedName>
    <definedName name="_xlnm.Print_Area" localSheetId="0">'дод 3 '!$A$1:$Q$195</definedName>
  </definedNames>
  <calcPr calcId="125725"/>
</workbook>
</file>

<file path=xl/calcChain.xml><?xml version="1.0" encoding="utf-8"?>
<calcChain xmlns="http://schemas.openxmlformats.org/spreadsheetml/2006/main">
  <c r="G137" i="5"/>
  <c r="G22"/>
  <c r="L38"/>
  <c r="G38"/>
  <c r="G188"/>
  <c r="G187"/>
  <c r="I186"/>
  <c r="H186"/>
  <c r="G186"/>
  <c r="G178"/>
  <c r="L173"/>
  <c r="L41"/>
  <c r="F189"/>
  <c r="L35"/>
  <c r="L33"/>
  <c r="L32"/>
  <c r="L14"/>
  <c r="L76"/>
  <c r="L75"/>
  <c r="L69"/>
  <c r="L52"/>
  <c r="L51"/>
  <c r="L48"/>
  <c r="G18"/>
  <c r="L167"/>
  <c r="L166"/>
  <c r="L158"/>
  <c r="L155"/>
  <c r="L148"/>
  <c r="G167"/>
  <c r="G158"/>
  <c r="G17"/>
  <c r="G41"/>
  <c r="J37"/>
  <c r="G35"/>
  <c r="G33"/>
  <c r="G26"/>
  <c r="G25"/>
  <c r="G24"/>
  <c r="G15"/>
  <c r="G14"/>
  <c r="G27" l="1"/>
  <c r="I122"/>
  <c r="G122"/>
  <c r="G121"/>
  <c r="G180"/>
  <c r="G179"/>
  <c r="I178"/>
  <c r="G113"/>
  <c r="G109"/>
  <c r="G108"/>
  <c r="G88"/>
  <c r="G87"/>
  <c r="I140"/>
  <c r="G140"/>
  <c r="I137"/>
  <c r="G136"/>
  <c r="G134"/>
  <c r="I57"/>
  <c r="H57"/>
  <c r="G57"/>
  <c r="I48"/>
  <c r="H48"/>
  <c r="G48"/>
  <c r="G45" l="1"/>
  <c r="G75"/>
  <c r="I44"/>
  <c r="G44"/>
  <c r="I51"/>
  <c r="H51"/>
  <c r="G51"/>
  <c r="I52"/>
  <c r="G52"/>
  <c r="I55"/>
  <c r="H55"/>
  <c r="G55"/>
  <c r="I46"/>
  <c r="H46"/>
  <c r="G46"/>
  <c r="N71"/>
  <c r="M71"/>
  <c r="G16"/>
  <c r="L112"/>
  <c r="G173"/>
  <c r="L64" l="1"/>
  <c r="H14" l="1"/>
  <c r="L137"/>
  <c r="I158" l="1"/>
  <c r="G174"/>
  <c r="J159"/>
  <c r="L193"/>
  <c r="L16"/>
  <c r="G193"/>
  <c r="I14"/>
  <c r="I133"/>
  <c r="G133"/>
  <c r="G123"/>
  <c r="P146"/>
  <c r="L146"/>
  <c r="L170"/>
  <c r="M79"/>
  <c r="N79"/>
  <c r="O79"/>
  <c r="L79"/>
  <c r="H79"/>
  <c r="I79"/>
  <c r="J79"/>
  <c r="G79"/>
  <c r="F115"/>
  <c r="F116"/>
  <c r="H146"/>
  <c r="G181"/>
  <c r="L178"/>
  <c r="H137"/>
  <c r="I125"/>
  <c r="G125"/>
  <c r="I123"/>
  <c r="G126"/>
  <c r="H126"/>
  <c r="H120"/>
  <c r="G120"/>
  <c r="H133"/>
  <c r="L17"/>
  <c r="J171"/>
  <c r="J158"/>
  <c r="G53"/>
  <c r="L181"/>
  <c r="G117"/>
  <c r="G114"/>
  <c r="G81"/>
  <c r="H80"/>
  <c r="G80"/>
  <c r="G39"/>
  <c r="H140"/>
  <c r="H106"/>
  <c r="G106"/>
  <c r="H178"/>
  <c r="L122"/>
  <c r="G40"/>
  <c r="I107"/>
  <c r="Q149" l="1"/>
  <c r="P149"/>
  <c r="K149" s="1"/>
  <c r="F149"/>
  <c r="G135"/>
  <c r="L133"/>
  <c r="G129"/>
  <c r="L129"/>
  <c r="G110" l="1"/>
  <c r="P141"/>
  <c r="K141" s="1"/>
  <c r="P142"/>
  <c r="K142" s="1"/>
  <c r="F141"/>
  <c r="Q141" s="1"/>
  <c r="F142"/>
  <c r="Q142" s="1"/>
  <c r="H52"/>
  <c r="L188"/>
  <c r="L186"/>
  <c r="H122"/>
  <c r="G124"/>
  <c r="H124"/>
  <c r="L123"/>
  <c r="H123"/>
  <c r="P126"/>
  <c r="L126"/>
  <c r="L59" l="1"/>
  <c r="G59"/>
  <c r="G138"/>
  <c r="J35"/>
  <c r="J157"/>
  <c r="L39"/>
  <c r="L60" l="1"/>
  <c r="G60"/>
  <c r="K74"/>
  <c r="F74"/>
  <c r="Q74" s="1"/>
  <c r="P166"/>
  <c r="H111"/>
  <c r="G111"/>
  <c r="M73"/>
  <c r="H72"/>
  <c r="G72"/>
  <c r="K71"/>
  <c r="F71"/>
  <c r="Q66"/>
  <c r="K66"/>
  <c r="F66"/>
  <c r="H56"/>
  <c r="G56"/>
  <c r="G28"/>
  <c r="Q71" l="1"/>
  <c r="L31"/>
  <c r="L106" l="1"/>
  <c r="K166" l="1"/>
  <c r="F162"/>
  <c r="F163"/>
  <c r="F164"/>
  <c r="F165"/>
  <c r="F166"/>
  <c r="I124"/>
  <c r="G130"/>
  <c r="P172"/>
  <c r="Q166" l="1"/>
  <c r="H50"/>
  <c r="G50"/>
  <c r="G147"/>
  <c r="J169"/>
  <c r="I106" l="1"/>
  <c r="G107"/>
  <c r="P62"/>
  <c r="K62" s="1"/>
  <c r="P112"/>
  <c r="F112"/>
  <c r="P63"/>
  <c r="K63" s="1"/>
  <c r="F63"/>
  <c r="F62"/>
  <c r="H139"/>
  <c r="G139"/>
  <c r="G127"/>
  <c r="K112" l="1"/>
  <c r="Q112" s="1"/>
  <c r="P79"/>
  <c r="Q62"/>
  <c r="Q63"/>
  <c r="F35"/>
  <c r="K28"/>
  <c r="F28"/>
  <c r="Q28" s="1"/>
  <c r="F16"/>
  <c r="L182" l="1"/>
  <c r="L147"/>
  <c r="G161"/>
  <c r="P64"/>
  <c r="K64" s="1"/>
  <c r="F64"/>
  <c r="F65"/>
  <c r="K159"/>
  <c r="F159"/>
  <c r="G160"/>
  <c r="Q159" l="1"/>
  <c r="Q64"/>
  <c r="G19"/>
  <c r="J193"/>
  <c r="G36"/>
  <c r="P193" l="1"/>
  <c r="P65"/>
  <c r="K65" s="1"/>
  <c r="Q65" s="1"/>
  <c r="L127"/>
  <c r="P157" l="1"/>
  <c r="K157" s="1"/>
  <c r="F157"/>
  <c r="P158"/>
  <c r="Q157" l="1"/>
  <c r="K20"/>
  <c r="K21"/>
  <c r="K22"/>
  <c r="J156"/>
  <c r="K115"/>
  <c r="K117"/>
  <c r="F117"/>
  <c r="L135"/>
  <c r="P151"/>
  <c r="K151" s="1"/>
  <c r="P152"/>
  <c r="K152" s="1"/>
  <c r="P153"/>
  <c r="K153" s="1"/>
  <c r="P154"/>
  <c r="K154" s="1"/>
  <c r="F151"/>
  <c r="F152"/>
  <c r="F153"/>
  <c r="F154"/>
  <c r="G89"/>
  <c r="G30"/>
  <c r="P67"/>
  <c r="K67" s="1"/>
  <c r="F67"/>
  <c r="H44"/>
  <c r="H125"/>
  <c r="H107"/>
  <c r="K29"/>
  <c r="F29"/>
  <c r="M175"/>
  <c r="P68"/>
  <c r="K68" s="1"/>
  <c r="K72"/>
  <c r="K73"/>
  <c r="K111"/>
  <c r="F111"/>
  <c r="F68"/>
  <c r="Q117" l="1"/>
  <c r="Q152"/>
  <c r="Q29"/>
  <c r="Q153"/>
  <c r="Q115"/>
  <c r="Q111"/>
  <c r="Q68"/>
  <c r="Q67"/>
  <c r="Q154"/>
  <c r="Q151"/>
  <c r="K70"/>
  <c r="F70"/>
  <c r="F59"/>
  <c r="F60"/>
  <c r="M58"/>
  <c r="N58"/>
  <c r="O58"/>
  <c r="L58"/>
  <c r="G58"/>
  <c r="H58"/>
  <c r="I58"/>
  <c r="J58"/>
  <c r="F58" l="1"/>
  <c r="Q70"/>
  <c r="K61"/>
  <c r="F61"/>
  <c r="N54"/>
  <c r="O54"/>
  <c r="P54"/>
  <c r="G54"/>
  <c r="H54"/>
  <c r="I54"/>
  <c r="J54"/>
  <c r="L54"/>
  <c r="M54"/>
  <c r="F72"/>
  <c r="Q72" s="1"/>
  <c r="F73"/>
  <c r="Q73" s="1"/>
  <c r="K37"/>
  <c r="M145"/>
  <c r="N145"/>
  <c r="O145"/>
  <c r="K130"/>
  <c r="G49"/>
  <c r="F49" s="1"/>
  <c r="H49"/>
  <c r="K49"/>
  <c r="F50"/>
  <c r="K50"/>
  <c r="F31"/>
  <c r="P31"/>
  <c r="K31" s="1"/>
  <c r="F32"/>
  <c r="P32"/>
  <c r="K32" s="1"/>
  <c r="F34"/>
  <c r="P34"/>
  <c r="K34" s="1"/>
  <c r="G168"/>
  <c r="G143"/>
  <c r="L15"/>
  <c r="F130"/>
  <c r="F20"/>
  <c r="Q20" s="1"/>
  <c r="F21"/>
  <c r="Q21" s="1"/>
  <c r="F22"/>
  <c r="Q22" s="1"/>
  <c r="F37"/>
  <c r="Q61" l="1"/>
  <c r="Q37"/>
  <c r="Q130"/>
  <c r="Q50"/>
  <c r="Q49"/>
  <c r="Q32"/>
  <c r="Q31"/>
  <c r="Q34"/>
  <c r="P147" l="1"/>
  <c r="H185"/>
  <c r="I185"/>
  <c r="J185"/>
  <c r="F186"/>
  <c r="G192"/>
  <c r="F192" s="1"/>
  <c r="F167"/>
  <c r="I145"/>
  <c r="P148"/>
  <c r="K148" s="1"/>
  <c r="L125"/>
  <c r="L80"/>
  <c r="P80" s="1"/>
  <c r="L47"/>
  <c r="P150"/>
  <c r="F148"/>
  <c r="F48"/>
  <c r="G119"/>
  <c r="F14"/>
  <c r="F15"/>
  <c r="F17"/>
  <c r="F18"/>
  <c r="F19"/>
  <c r="F23"/>
  <c r="F24"/>
  <c r="F25"/>
  <c r="F26"/>
  <c r="F27"/>
  <c r="F30"/>
  <c r="F33"/>
  <c r="F36"/>
  <c r="F38"/>
  <c r="F39"/>
  <c r="F40"/>
  <c r="F41"/>
  <c r="F44"/>
  <c r="F45"/>
  <c r="F46"/>
  <c r="F51"/>
  <c r="F52"/>
  <c r="F53"/>
  <c r="F55"/>
  <c r="F56"/>
  <c r="F57"/>
  <c r="F69"/>
  <c r="F75"/>
  <c r="F76"/>
  <c r="F77"/>
  <c r="F80"/>
  <c r="F81"/>
  <c r="F82"/>
  <c r="F83"/>
  <c r="F84"/>
  <c r="F85"/>
  <c r="F86"/>
  <c r="F87"/>
  <c r="F88"/>
  <c r="F89"/>
  <c r="F91"/>
  <c r="F92"/>
  <c r="F93"/>
  <c r="F94"/>
  <c r="F95"/>
  <c r="F96"/>
  <c r="F97"/>
  <c r="F98"/>
  <c r="F99"/>
  <c r="F100"/>
  <c r="F101"/>
  <c r="F102"/>
  <c r="F103"/>
  <c r="F104"/>
  <c r="F105"/>
  <c r="F106"/>
  <c r="F107"/>
  <c r="F108"/>
  <c r="F109"/>
  <c r="F110"/>
  <c r="F113"/>
  <c r="F114"/>
  <c r="F120"/>
  <c r="F121"/>
  <c r="F122"/>
  <c r="F124"/>
  <c r="F125"/>
  <c r="F126"/>
  <c r="F127"/>
  <c r="F128"/>
  <c r="F129"/>
  <c r="F133"/>
  <c r="F134"/>
  <c r="F135"/>
  <c r="F136"/>
  <c r="F137"/>
  <c r="F138"/>
  <c r="F139"/>
  <c r="F140"/>
  <c r="F143"/>
  <c r="F146"/>
  <c r="F147"/>
  <c r="F150"/>
  <c r="F155"/>
  <c r="F156"/>
  <c r="F158"/>
  <c r="F160"/>
  <c r="F161"/>
  <c r="F168"/>
  <c r="F169"/>
  <c r="F170"/>
  <c r="F171"/>
  <c r="F172"/>
  <c r="F173"/>
  <c r="F174"/>
  <c r="F175"/>
  <c r="F178"/>
  <c r="F179"/>
  <c r="F180"/>
  <c r="F181"/>
  <c r="F182"/>
  <c r="F183"/>
  <c r="F187"/>
  <c r="F188"/>
  <c r="F190"/>
  <c r="F191"/>
  <c r="F193"/>
  <c r="H177"/>
  <c r="I177"/>
  <c r="J177"/>
  <c r="H145"/>
  <c r="H132"/>
  <c r="I132"/>
  <c r="J132"/>
  <c r="H119"/>
  <c r="I119"/>
  <c r="J119"/>
  <c r="H13"/>
  <c r="I13"/>
  <c r="G13"/>
  <c r="M47"/>
  <c r="N47"/>
  <c r="O47"/>
  <c r="K25"/>
  <c r="F54" l="1"/>
  <c r="L145"/>
  <c r="F123"/>
  <c r="G185"/>
  <c r="F185"/>
  <c r="F184" s="1"/>
  <c r="Q148"/>
  <c r="K113"/>
  <c r="G47" l="1"/>
  <c r="G43" s="1"/>
  <c r="H47"/>
  <c r="H43" s="1"/>
  <c r="I47"/>
  <c r="I43" s="1"/>
  <c r="L124" l="1"/>
  <c r="P169"/>
  <c r="K171" l="1"/>
  <c r="K172"/>
  <c r="K139"/>
  <c r="P156"/>
  <c r="P39"/>
  <c r="Q172" l="1"/>
  <c r="Q139"/>
  <c r="L185" l="1"/>
  <c r="M185"/>
  <c r="N185"/>
  <c r="O185"/>
  <c r="K193"/>
  <c r="Q192"/>
  <c r="Q193" l="1"/>
  <c r="H184"/>
  <c r="P138"/>
  <c r="P137"/>
  <c r="P124"/>
  <c r="K124" s="1"/>
  <c r="P69"/>
  <c r="I184"/>
  <c r="J184"/>
  <c r="F119" l="1"/>
  <c r="G145" l="1"/>
  <c r="P41"/>
  <c r="K41" s="1"/>
  <c r="P23"/>
  <c r="K23" s="1"/>
  <c r="Q23" s="1"/>
  <c r="K174"/>
  <c r="J13" l="1"/>
  <c r="F13" s="1"/>
  <c r="Q174"/>
  <c r="Q41"/>
  <c r="Q25" l="1"/>
  <c r="M13"/>
  <c r="N13"/>
  <c r="O13"/>
  <c r="P52"/>
  <c r="K52" s="1"/>
  <c r="P51" l="1"/>
  <c r="L13"/>
  <c r="J47"/>
  <c r="D13"/>
  <c r="P134"/>
  <c r="K134" s="1"/>
  <c r="P143"/>
  <c r="P133"/>
  <c r="F47" l="1"/>
  <c r="P15"/>
  <c r="P107"/>
  <c r="P106"/>
  <c r="P57"/>
  <c r="P59"/>
  <c r="P60"/>
  <c r="K60" s="1"/>
  <c r="Q60" s="1"/>
  <c r="P136"/>
  <c r="P168"/>
  <c r="K59" l="1"/>
  <c r="K39"/>
  <c r="K190"/>
  <c r="K191"/>
  <c r="Q59" l="1"/>
  <c r="Q191"/>
  <c r="L132"/>
  <c r="K44"/>
  <c r="K45"/>
  <c r="K51"/>
  <c r="K53"/>
  <c r="K55"/>
  <c r="K56"/>
  <c r="K57"/>
  <c r="K69"/>
  <c r="Q69" s="1"/>
  <c r="P27"/>
  <c r="K54" l="1"/>
  <c r="P135"/>
  <c r="P76" l="1"/>
  <c r="K76" s="1"/>
  <c r="K80"/>
  <c r="P167"/>
  <c r="K128"/>
  <c r="P122"/>
  <c r="P125"/>
  <c r="P123"/>
  <c r="P140"/>
  <c r="P186"/>
  <c r="P14"/>
  <c r="P46" l="1"/>
  <c r="P161"/>
  <c r="P48"/>
  <c r="Q57"/>
  <c r="Q56"/>
  <c r="Q52"/>
  <c r="Q53"/>
  <c r="K15"/>
  <c r="P181"/>
  <c r="P182"/>
  <c r="P170"/>
  <c r="P129"/>
  <c r="P127"/>
  <c r="P114"/>
  <c r="P75"/>
  <c r="Q39"/>
  <c r="P35"/>
  <c r="P33"/>
  <c r="P17"/>
  <c r="P16"/>
  <c r="K48" l="1"/>
  <c r="K47" s="1"/>
  <c r="P47"/>
  <c r="Q54"/>
  <c r="Q55"/>
  <c r="K46"/>
  <c r="K75"/>
  <c r="Q15"/>
  <c r="P188"/>
  <c r="P185" s="1"/>
  <c r="Q48" l="1"/>
  <c r="K16"/>
  <c r="K143"/>
  <c r="K169"/>
  <c r="Q190"/>
  <c r="K189"/>
  <c r="Q189" s="1"/>
  <c r="K188"/>
  <c r="K187"/>
  <c r="G184"/>
  <c r="L184"/>
  <c r="K186"/>
  <c r="P184"/>
  <c r="M184"/>
  <c r="D185"/>
  <c r="O184"/>
  <c r="N184"/>
  <c r="P183"/>
  <c r="K183" s="1"/>
  <c r="K181"/>
  <c r="K182"/>
  <c r="K180"/>
  <c r="K179"/>
  <c r="P178"/>
  <c r="K178" s="1"/>
  <c r="I176"/>
  <c r="O177"/>
  <c r="O176" s="1"/>
  <c r="N177"/>
  <c r="N176" s="1"/>
  <c r="M177"/>
  <c r="M176" s="1"/>
  <c r="J176"/>
  <c r="H176"/>
  <c r="D177"/>
  <c r="K175"/>
  <c r="P173"/>
  <c r="K173" s="1"/>
  <c r="Q171"/>
  <c r="K170"/>
  <c r="K168"/>
  <c r="P165"/>
  <c r="K165" s="1"/>
  <c r="Q165" s="1"/>
  <c r="P164"/>
  <c r="K164" s="1"/>
  <c r="Q164" s="1"/>
  <c r="P163"/>
  <c r="K163" s="1"/>
  <c r="Q163" s="1"/>
  <c r="P162"/>
  <c r="K162" s="1"/>
  <c r="Q162" s="1"/>
  <c r="K161"/>
  <c r="K160"/>
  <c r="K158"/>
  <c r="K156"/>
  <c r="K150"/>
  <c r="K147"/>
  <c r="K146"/>
  <c r="O144"/>
  <c r="N144"/>
  <c r="I144"/>
  <c r="H144"/>
  <c r="D145"/>
  <c r="K140"/>
  <c r="K138"/>
  <c r="Q138" s="1"/>
  <c r="K137"/>
  <c r="K136"/>
  <c r="Q134"/>
  <c r="K133"/>
  <c r="O132"/>
  <c r="O131" s="1"/>
  <c r="N132"/>
  <c r="N131" s="1"/>
  <c r="M132"/>
  <c r="M131" s="1"/>
  <c r="J131"/>
  <c r="I131"/>
  <c r="D132"/>
  <c r="K129"/>
  <c r="K126"/>
  <c r="K125"/>
  <c r="K123"/>
  <c r="K121"/>
  <c r="G118"/>
  <c r="P120"/>
  <c r="K120" s="1"/>
  <c r="O119"/>
  <c r="O118" s="1"/>
  <c r="N119"/>
  <c r="N118" s="1"/>
  <c r="M119"/>
  <c r="M118" s="1"/>
  <c r="L119"/>
  <c r="L118" s="1"/>
  <c r="J118"/>
  <c r="I118"/>
  <c r="D119"/>
  <c r="K114"/>
  <c r="Q113"/>
  <c r="K110"/>
  <c r="K109"/>
  <c r="K108"/>
  <c r="K106"/>
  <c r="K105"/>
  <c r="K104"/>
  <c r="K103"/>
  <c r="K102"/>
  <c r="K101"/>
  <c r="K100"/>
  <c r="K99"/>
  <c r="Q98"/>
  <c r="K97"/>
  <c r="K96"/>
  <c r="K95"/>
  <c r="K94"/>
  <c r="K93"/>
  <c r="K92"/>
  <c r="K91"/>
  <c r="P90"/>
  <c r="O90"/>
  <c r="N90"/>
  <c r="M90"/>
  <c r="L90"/>
  <c r="J90"/>
  <c r="F79" s="1"/>
  <c r="K89"/>
  <c r="K88"/>
  <c r="K87"/>
  <c r="K86"/>
  <c r="K85"/>
  <c r="K84"/>
  <c r="K83"/>
  <c r="K82"/>
  <c r="K81"/>
  <c r="Q80"/>
  <c r="D79"/>
  <c r="K77"/>
  <c r="K122"/>
  <c r="Q122" s="1"/>
  <c r="K40"/>
  <c r="P38"/>
  <c r="K38" s="1"/>
  <c r="K36"/>
  <c r="K35"/>
  <c r="K33"/>
  <c r="L12"/>
  <c r="K30"/>
  <c r="K27"/>
  <c r="K26"/>
  <c r="K107"/>
  <c r="K24"/>
  <c r="K19"/>
  <c r="K18"/>
  <c r="K17"/>
  <c r="K14"/>
  <c r="H12"/>
  <c r="O12"/>
  <c r="N12"/>
  <c r="M12"/>
  <c r="J12"/>
  <c r="I12"/>
  <c r="F118" l="1"/>
  <c r="J145"/>
  <c r="F145" s="1"/>
  <c r="F90"/>
  <c r="K185"/>
  <c r="K184" s="1"/>
  <c r="Q184" s="1"/>
  <c r="Q173"/>
  <c r="Q137"/>
  <c r="P13"/>
  <c r="P12" s="1"/>
  <c r="K13"/>
  <c r="K12" s="1"/>
  <c r="Q179"/>
  <c r="Q180"/>
  <c r="Q168"/>
  <c r="Q93"/>
  <c r="Q101"/>
  <c r="Q94"/>
  <c r="Q26"/>
  <c r="Q40"/>
  <c r="Q27"/>
  <c r="Q102"/>
  <c r="Q110"/>
  <c r="Q105"/>
  <c r="Q24"/>
  <c r="Q82"/>
  <c r="Q84"/>
  <c r="Q86"/>
  <c r="Q88"/>
  <c r="Q19"/>
  <c r="Q107"/>
  <c r="Q81"/>
  <c r="Q83"/>
  <c r="Q87"/>
  <c r="Q89"/>
  <c r="K90"/>
  <c r="K79" s="1"/>
  <c r="Q120"/>
  <c r="Q147"/>
  <c r="Q175"/>
  <c r="Q46"/>
  <c r="Q44"/>
  <c r="Q186"/>
  <c r="Q146"/>
  <c r="Q114"/>
  <c r="Q51"/>
  <c r="Q97"/>
  <c r="Q85"/>
  <c r="Q108"/>
  <c r="Q170"/>
  <c r="Q188"/>
  <c r="Q129"/>
  <c r="Q17"/>
  <c r="Q47"/>
  <c r="Q76"/>
  <c r="Q77"/>
  <c r="Q91"/>
  <c r="Q96"/>
  <c r="Q100"/>
  <c r="Q103"/>
  <c r="Q126"/>
  <c r="Q182"/>
  <c r="H118"/>
  <c r="Q160"/>
  <c r="Q181"/>
  <c r="Q18"/>
  <c r="Q36"/>
  <c r="Q45"/>
  <c r="Q75"/>
  <c r="Q92"/>
  <c r="Q95"/>
  <c r="Q99"/>
  <c r="Q104"/>
  <c r="Q106"/>
  <c r="Q123"/>
  <c r="Q136"/>
  <c r="Q150"/>
  <c r="G177"/>
  <c r="L177"/>
  <c r="L176" s="1"/>
  <c r="P177"/>
  <c r="P176" s="1"/>
  <c r="K167"/>
  <c r="L131"/>
  <c r="Q30"/>
  <c r="Q33"/>
  <c r="Q109"/>
  <c r="H131"/>
  <c r="M144"/>
  <c r="Q156"/>
  <c r="Q14"/>
  <c r="Q124"/>
  <c r="Q16"/>
  <c r="Q143"/>
  <c r="P132"/>
  <c r="P131" s="1"/>
  <c r="G144"/>
  <c r="G12"/>
  <c r="Q158"/>
  <c r="Q38"/>
  <c r="Q125"/>
  <c r="Q128"/>
  <c r="Q161"/>
  <c r="Q183"/>
  <c r="P119"/>
  <c r="P118" s="1"/>
  <c r="K127"/>
  <c r="Q133"/>
  <c r="Q178"/>
  <c r="Q35"/>
  <c r="Q140"/>
  <c r="Q169"/>
  <c r="K177"/>
  <c r="K176" s="1"/>
  <c r="G132"/>
  <c r="K135"/>
  <c r="K132" s="1"/>
  <c r="K131" s="1"/>
  <c r="J144" l="1"/>
  <c r="F144" s="1"/>
  <c r="G176"/>
  <c r="F176" s="1"/>
  <c r="Q176" s="1"/>
  <c r="F177"/>
  <c r="Q177" s="1"/>
  <c r="G131"/>
  <c r="F131" s="1"/>
  <c r="F132"/>
  <c r="Q132" s="1"/>
  <c r="K119"/>
  <c r="K118" s="1"/>
  <c r="Q90"/>
  <c r="Q127"/>
  <c r="Q121"/>
  <c r="Q167"/>
  <c r="Q187"/>
  <c r="Q135"/>
  <c r="Q119" l="1"/>
  <c r="Q118" s="1"/>
  <c r="Q131"/>
  <c r="Q185"/>
  <c r="Q13"/>
  <c r="F12"/>
  <c r="Q12" l="1"/>
  <c r="L144"/>
  <c r="P155"/>
  <c r="P145" l="1"/>
  <c r="P144" s="1"/>
  <c r="K155"/>
  <c r="K145" s="1"/>
  <c r="Q155" l="1"/>
  <c r="Q145" l="1"/>
  <c r="K144"/>
  <c r="Q144" s="1"/>
  <c r="K78"/>
  <c r="H78"/>
  <c r="L78"/>
  <c r="M78"/>
  <c r="J78"/>
  <c r="G78"/>
  <c r="O78"/>
  <c r="N78"/>
  <c r="P78"/>
  <c r="Q79"/>
  <c r="I78"/>
  <c r="F78" l="1"/>
  <c r="Q78" l="1"/>
  <c r="M43"/>
  <c r="M42" s="1"/>
  <c r="M194" s="1"/>
  <c r="O43"/>
  <c r="O42" s="1"/>
  <c r="O194" s="1"/>
  <c r="L43"/>
  <c r="L42" s="1"/>
  <c r="L194" s="1"/>
  <c r="N43"/>
  <c r="N42" s="1"/>
  <c r="N194" s="1"/>
  <c r="P58"/>
  <c r="P43" l="1"/>
  <c r="P42" s="1"/>
  <c r="P194" s="1"/>
  <c r="K194" s="1"/>
  <c r="K58"/>
  <c r="Q58" l="1"/>
  <c r="K43"/>
  <c r="K42" s="1"/>
  <c r="J43"/>
  <c r="J42" s="1"/>
  <c r="J194" s="1"/>
  <c r="I42" l="1"/>
  <c r="I194" s="1"/>
  <c r="H42" l="1"/>
  <c r="H194" s="1"/>
  <c r="F43" l="1"/>
  <c r="Q43" s="1"/>
  <c r="G42"/>
  <c r="G194" l="1"/>
  <c r="F42"/>
  <c r="F194" s="1"/>
  <c r="Q194" l="1"/>
  <c r="Q42"/>
</calcChain>
</file>

<file path=xl/sharedStrings.xml><?xml version="1.0" encoding="utf-8"?>
<sst xmlns="http://schemas.openxmlformats.org/spreadsheetml/2006/main" count="769" uniqueCount="542">
  <si>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</si>
  <si>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</si>
  <si>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</si>
  <si>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</si>
  <si>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</si>
  <si>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</si>
  <si>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</si>
  <si>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</si>
  <si>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</si>
  <si>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</si>
  <si>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</si>
  <si>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</si>
  <si>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</si>
  <si>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</si>
  <si>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</si>
  <si>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</si>
  <si>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</si>
  <si>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</si>
  <si>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</si>
  <si>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</si>
  <si>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</si>
  <si>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</si>
  <si>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</si>
  <si>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</si>
  <si>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</si>
  <si>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</si>
  <si>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</si>
  <si>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</si>
  <si>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</si>
  <si>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</si>
  <si>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</si>
  <si>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</si>
  <si>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</si>
  <si>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</si>
  <si>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</si>
  <si>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</si>
  <si>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</si>
  <si>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</si>
  <si>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</si>
  <si>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</si>
  <si>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</si>
  <si>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</si>
  <si>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</si>
  <si>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</si>
  <si>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</si>
  <si>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</si>
  <si>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</si>
  <si>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</si>
  <si>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</si>
  <si>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</si>
  <si>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</si>
  <si>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</si>
  <si>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</si>
  <si>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</si>
  <si>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</si>
  <si>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</si>
  <si>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</si>
  <si>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</si>
  <si>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</si>
  <si>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</si>
  <si>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</si>
  <si>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</si>
  <si>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</si>
  <si>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</si>
  <si>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</si>
  <si>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</si>
  <si>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</si>
  <si>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</si>
  <si>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</si>
  <si>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</si>
  <si>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</si>
  <si>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</si>
  <si>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</si>
  <si>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</si>
  <si>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</si>
  <si>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</si>
  <si>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</si>
  <si>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</si>
  <si>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</si>
  <si>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</si>
  <si>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</si>
  <si>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</si>
  <si>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</si>
  <si>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</si>
  <si>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</si>
  <si>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</si>
  <si>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</si>
  <si>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</si>
  <si>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</si>
  <si>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</si>
  <si>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</si>
  <si>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</si>
  <si>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</si>
  <si>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</si>
  <si>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</si>
  <si>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</si>
  <si>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</si>
  <si>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</si>
  <si>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</si>
  <si>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</si>
  <si>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</si>
  <si>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</si>
  <si>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</si>
  <si>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</si>
  <si>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</si>
  <si>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</si>
  <si>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</si>
  <si>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</si>
  <si>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</si>
  <si>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</si>
  <si>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</si>
  <si>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</si>
  <si>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</si>
  <si>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</si>
  <si>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</si>
  <si>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</si>
  <si>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</si>
  <si>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</si>
  <si>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</si>
  <si>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</si>
  <si>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</si>
  <si>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</si>
  <si>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</si>
  <si>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</si>
  <si>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</si>
  <si>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</si>
  <si>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</si>
  <si>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</si>
  <si>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</si>
  <si>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</si>
  <si>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</si>
  <si>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</si>
  <si>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</si>
  <si>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</si>
  <si>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</si>
  <si>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</si>
  <si>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</si>
  <si>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</si>
  <si>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</si>
  <si>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</si>
  <si>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</si>
  <si>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</si>
  <si>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</si>
  <si>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</si>
  <si>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</si>
  <si>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</si>
  <si>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</si>
  <si>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</si>
  <si>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</si>
  <si>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</si>
  <si>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</si>
  <si>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</si>
  <si>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</si>
  <si>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</si>
  <si>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</si>
  <si>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</si>
  <si>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</si>
  <si>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</si>
  <si>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</si>
  <si>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</si>
  <si>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</si>
  <si>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</si>
  <si>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</si>
  <si>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</si>
  <si>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</si>
  <si>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</si>
  <si>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</si>
  <si>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</si>
  <si>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</si>
  <si>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</si>
  <si>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</si>
  <si>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</si>
  <si>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</si>
  <si>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</si>
  <si>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</si>
  <si>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</si>
  <si>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</si>
  <si>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</si>
  <si>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</si>
  <si>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</si>
  <si>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</si>
  <si>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</si>
  <si>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</si>
  <si>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</si>
  <si>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</si>
  <si>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</si>
  <si>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</si>
  <si>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</si>
  <si>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</si>
  <si>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</si>
  <si>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</si>
  <si>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</si>
  <si>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</si>
  <si>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</si>
  <si>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</si>
  <si>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</si>
  <si>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</si>
  <si>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</si>
  <si>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</si>
  <si>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</si>
  <si>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</si>
  <si>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</si>
  <si>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</si>
  <si>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</si>
  <si>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</si>
  <si>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</si>
  <si>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</si>
  <si>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</si>
  <si>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</si>
  <si>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</si>
  <si>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</si>
  <si>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</si>
  <si>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</si>
  <si>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</si>
  <si>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</si>
  <si>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</si>
  <si>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</si>
  <si>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</si>
  <si>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</si>
  <si>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</si>
  <si>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</si>
  <si>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</si>
  <si>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</si>
  <si>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</si>
  <si>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</si>
  <si>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</si>
  <si>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</si>
  <si>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</si>
  <si>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</si>
  <si>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</si>
  <si>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</si>
  <si>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</si>
  <si>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</si>
  <si>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</si>
  <si>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</si>
  <si>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</si>
  <si>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</si>
  <si>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</si>
  <si>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</si>
  <si>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</si>
  <si>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</si>
  <si>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</si>
  <si>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</si>
  <si>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</si>
  <si>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</si>
  <si>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</si>
  <si>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</si>
  <si>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</si>
  <si>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</si>
  <si>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</si>
  <si>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</si>
  <si>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</si>
  <si>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</si>
  <si>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</si>
  <si>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</si>
  <si>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</si>
  <si>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</si>
  <si>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</si>
  <si>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</si>
  <si>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</si>
  <si>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</si>
  <si>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</si>
  <si>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</si>
  <si>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</si>
  <si>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</si>
  <si>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</si>
  <si>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</si>
  <si>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</si>
  <si>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</si>
  <si>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</si>
  <si>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</si>
  <si>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</si>
  <si>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</si>
  <si>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</si>
  <si>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</si>
  <si>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</si>
  <si>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</si>
  <si>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</si>
  <si>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</si>
  <si>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</si>
  <si>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</si>
  <si>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</si>
  <si>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</si>
  <si>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</si>
  <si>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</si>
  <si>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</si>
  <si>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</si>
  <si>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</si>
  <si>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</si>
  <si>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</si>
  <si>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</si>
  <si>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</si>
  <si>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</si>
  <si>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</si>
  <si>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</si>
  <si>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</si>
  <si>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</si>
  <si>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</si>
  <si>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</si>
  <si>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</si>
  <si>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</si>
  <si>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</si>
  <si>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</si>
  <si>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</si>
  <si>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</si>
  <si>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</si>
  <si>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</si>
  <si>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</si>
  <si>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</si>
  <si>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</si>
  <si>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</si>
  <si>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</si>
  <si>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</si>
  <si>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</si>
  <si>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</si>
  <si>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</si>
  <si>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</si>
  <si>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</si>
  <si>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</si>
  <si>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</si>
  <si>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</si>
  <si>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</si>
  <si>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</si>
  <si>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</si>
  <si>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</si>
  <si>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</si>
  <si>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</si>
  <si>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</si>
  <si>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</si>
  <si>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</si>
  <si>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</si>
  <si>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</si>
  <si>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</si>
  <si>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</si>
  <si>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</si>
  <si>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</si>
  <si>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</si>
  <si>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</si>
  <si>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</si>
  <si>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</si>
  <si>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</si>
  <si>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</si>
  <si>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</si>
  <si>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</si>
  <si>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</si>
  <si>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</si>
  <si>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</si>
  <si>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</si>
  <si>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</si>
  <si>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</si>
  <si>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</si>
  <si>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</si>
  <si>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</si>
  <si>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</si>
  <si>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</si>
  <si>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</si>
  <si>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</si>
  <si>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</si>
  <si>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</si>
  <si>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</si>
  <si>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</si>
  <si>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</si>
  <si>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</si>
  <si>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</si>
  <si>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</si>
  <si>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</si>
  <si>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</si>
  <si>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</si>
  <si>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</si>
  <si>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</si>
  <si>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</si>
  <si>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</si>
  <si>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</si>
  <si>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</si>
  <si>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</si>
  <si>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</si>
  <si>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</si>
  <si>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</si>
  <si>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</si>
  <si>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</si>
  <si>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</si>
  <si>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</si>
  <si>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</si>
  <si>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</si>
  <si>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</si>
  <si>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</si>
  <si>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</si>
  <si>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</si>
  <si>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</si>
  <si>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</si>
  <si>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</si>
  <si>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</si>
  <si>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</si>
  <si>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</si>
  <si>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</si>
  <si>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</si>
  <si>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</si>
  <si>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</si>
  <si>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</si>
  <si>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</si>
  <si>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</si>
  <si>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</si>
  <si>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</si>
  <si>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</si>
  <si>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</si>
  <si>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</si>
  <si>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</si>
  <si>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</si>
  <si>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</si>
  <si>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</si>
  <si>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</si>
  <si>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Надання спеціалізованої освіти мистецькими школами</t>
  </si>
  <si>
    <t>0213123</t>
  </si>
  <si>
    <t>3123</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</si>
  <si>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</si>
  <si>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</si>
  <si>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</si>
  <si>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</si>
  <si>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</si>
  <si>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</si>
  <si>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</si>
  <si>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</si>
  <si>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</si>
  <si>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</si>
  <si>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</si>
  <si>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</si>
  <si>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</si>
  <si>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</si>
  <si>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</si>
  <si>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</si>
  <si>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</si>
  <si>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</si>
  <si>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</si>
  <si>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</si>
  <si>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</si>
  <si>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</si>
  <si>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</si>
  <si>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</si>
  <si>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</si>
  <si>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</si>
  <si>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</si>
  <si>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</si>
  <si>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</si>
  <si>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</si>
  <si>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закладів охорони здоров’я</t>
  </si>
  <si>
    <t>1211300</t>
  </si>
  <si>
    <t xml:space="preserve">Будівництво освітніх установ та закладів </t>
  </si>
  <si>
    <t>0217693</t>
  </si>
  <si>
    <t>0212152</t>
  </si>
  <si>
    <t>1018110</t>
  </si>
  <si>
    <t xml:space="preserve">                                             видатків   бюджету   Ніжинської  міської  територіальної громади на 2025 рік</t>
  </si>
  <si>
    <t xml:space="preserve">             до рішення  Ніжинської  міської ради                 </t>
  </si>
  <si>
    <t xml:space="preserve"> Міський голова                                                                           Олександр КОДОЛА </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</si>
  <si>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</si>
  <si>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</si>
  <si>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</si>
  <si>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</si>
  <si>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</si>
  <si>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</si>
  <si>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</si>
  <si>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</si>
  <si>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</si>
  <si>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</si>
  <si>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</si>
  <si>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</si>
  <si>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</si>
  <si>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</si>
  <si>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</si>
  <si>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</si>
  <si>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</si>
  <si>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</si>
  <si>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</si>
  <si>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</si>
  <si>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</si>
  <si>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</si>
  <si>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</si>
  <si>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</si>
  <si>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</si>
  <si>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</si>
  <si>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</si>
  <si>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</si>
  <si>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</si>
  <si>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</si>
  <si>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</si>
  <si>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0611291</t>
  </si>
  <si>
    <t>1291</t>
  </si>
  <si>
    <t>3250</t>
  </si>
  <si>
    <r>
      <t>Інша діяльність у  сфері державного управління</t>
    </r>
    <r>
      <rPr>
        <sz val="18"/>
        <color rgb="FFFF0000"/>
        <rFont val="Times New Roman"/>
        <family val="1"/>
        <charset val="204"/>
      </rPr>
      <t xml:space="preserve"> </t>
    </r>
  </si>
  <si>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</si>
  <si>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</si>
  <si>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6020</t>
  </si>
  <si>
    <t>Забезпечення функціонування підприємств, установ та організацій,  що виробляють, виконують та/ або надають житлово- комунальні послуги</t>
  </si>
  <si>
    <t>0611262</t>
  </si>
  <si>
    <t>1262</t>
  </si>
  <si>
    <t>Виконання заходів щодо реалізації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</si>
  <si>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1216092</t>
  </si>
  <si>
    <t>6092</t>
  </si>
  <si>
    <t>Реалізація проектів (заходів) з відновлення об'єктів житлового фонду, пошкоджених/знищених внаслідок збройної агресії, за рахунок коштів місцевих бюджетів</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</si>
  <si>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</si>
  <si>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</si>
  <si>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</si>
  <si>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</si>
  <si>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0611261</t>
  </si>
  <si>
    <t>1261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</si>
  <si>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</si>
  <si>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Заходи державної політики з питань сім’ї</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</si>
  <si>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</si>
  <si>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Надання фінансової підтримки громадським об’єднанням ветеранів і осіб з інвалідністю, діяльність яких має соціальну спрямованість</t>
  </si>
  <si>
    <t>Виконання окремих заходів з реалізації соціального проекту "Активні парки - локації здорової України"</t>
  </si>
  <si>
    <t>0213193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</si>
  <si>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(КНП ЦМЛ, КЕКВ 2610)</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</si>
  <si>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</si>
  <si>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</si>
  <si>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</si>
  <si>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</si>
  <si>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</si>
  <si>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</si>
  <si>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</si>
  <si>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</si>
  <si>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та які потребують поліпшення житлових умов</t>
  </si>
  <si>
    <t>1217367</t>
  </si>
  <si>
    <t>7367</t>
  </si>
  <si>
    <t>Реалізація проектів у рамках Програми відновлення України ІІІ</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</si>
  <si>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</si>
  <si>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</si>
  <si>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</si>
  <si>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0611501</t>
  </si>
  <si>
    <t>1501</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</si>
  <si>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</si>
  <si>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0611702</t>
  </si>
  <si>
    <t>1702</t>
  </si>
  <si>
    <t>1115070</t>
  </si>
  <si>
    <t>5070</t>
  </si>
  <si>
    <t>Підготовка та реалізація публічних інвестиційних проектів / програм публічних інвестицій за рахунок коштів місцевого бюджету в галузі фізичної культури і спорту</t>
  </si>
  <si>
    <t>1212010</t>
  </si>
  <si>
    <t>0818110</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</si>
  <si>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</si>
  <si>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Будівництво освітніх установ та закладів</t>
  </si>
  <si>
    <t xml:space="preserve">Забезпечення харчуванням учнів закладів загальної середньої освіти за рахунок субвенції з державного бюджету місцевим бюджетам  </t>
  </si>
  <si>
    <r>
      <rPr>
        <sz val="20"/>
        <rFont val="Times New Roman"/>
        <family val="1"/>
        <charset val="204"/>
      </rPr>
      <t>Будівництво</t>
    </r>
    <r>
      <rPr>
        <sz val="22"/>
        <rFont val="Times New Roman"/>
        <family val="1"/>
        <charset val="204"/>
      </rPr>
      <t xml:space="preserve"> установ та закладів соціальної сфери</t>
    </r>
    <r>
      <rPr>
        <sz val="20"/>
        <rFont val="Times New Roman"/>
        <family val="1"/>
        <charset val="204"/>
      </rPr>
      <t xml:space="preserve"> </t>
    </r>
  </si>
  <si>
    <t>Спеціальний фонд</t>
  </si>
  <si>
    <t xml:space="preserve">                               від 24 грудня 2025 року № 4-52/2025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</si>
</sst>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6">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18"/>
      <color rgb="FF333333"/>
      <name val="Times New Roman"/>
      <family val="1"/>
      <charset val="204"/>
    </font>
    <font>
      <b/>
      <sz val="18"/>
      <color rgb="FF333333"/>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wrapText="1"/>
    </xf>
    <xf numFmtId="0" fontId="14" fillId="0" borderId="1" xfId="0" applyFont="1" applyBorder="1" applyAlignment="1">
      <alignment horizontal="lef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0" fontId="20"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49" fontId="18" fillId="2"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vertical="center" wrapText="1"/>
      <protection locked="0"/>
    </xf>
    <xf numFmtId="1" fontId="18" fillId="2" borderId="1" xfId="0" applyNumberFormat="1"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right" vertical="center" wrapText="1"/>
    </xf>
    <xf numFmtId="0" fontId="18" fillId="2" borderId="1" xfId="0" applyFont="1" applyFill="1" applyBorder="1" applyAlignment="1" applyProtection="1">
      <alignment vertical="center" wrapText="1"/>
      <protection locked="0"/>
    </xf>
    <xf numFmtId="0" fontId="18" fillId="2" borderId="1" xfId="0" applyFont="1" applyFill="1" applyBorder="1" applyAlignment="1" applyProtection="1">
      <alignment horizontal="left" vertical="center" wrapText="1"/>
      <protection locked="0"/>
    </xf>
    <xf numFmtId="49" fontId="19" fillId="2" borderId="1" xfId="0" applyNumberFormat="1" applyFont="1" applyFill="1" applyBorder="1" applyAlignment="1" applyProtection="1">
      <alignment horizontal="center" vertical="center" wrapText="1"/>
      <protection locked="0"/>
    </xf>
    <xf numFmtId="0" fontId="19" fillId="2" borderId="1" xfId="0" applyFont="1" applyFill="1" applyBorder="1" applyAlignment="1" applyProtection="1">
      <alignment vertical="center" wrapText="1"/>
      <protection locked="0"/>
    </xf>
    <xf numFmtId="4" fontId="18"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166" fontId="18" fillId="2" borderId="1" xfId="0" applyNumberFormat="1"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8" fillId="2"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lignment horizontal="center" vertical="center" wrapText="1"/>
    </xf>
    <xf numFmtId="49" fontId="19" fillId="0" borderId="3" xfId="0" applyNumberFormat="1" applyFont="1" applyFill="1" applyBorder="1" applyAlignment="1" applyProtection="1">
      <alignment horizontal="center" vertical="center" wrapText="1"/>
      <protection locked="0"/>
    </xf>
    <xf numFmtId="49" fontId="19" fillId="0" borderId="2" xfId="0" applyNumberFormat="1"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vertical="center" wrapText="1"/>
      <protection locked="0"/>
    </xf>
    <xf numFmtId="49" fontId="23" fillId="0"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166" fontId="18"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4" fontId="18" fillId="0" borderId="1"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horizontal="right" vertical="center" wrapText="1"/>
      <protection locked="0"/>
    </xf>
    <xf numFmtId="4" fontId="18" fillId="0" borderId="1" xfId="1" applyNumberFormat="1" applyFont="1" applyFill="1" applyBorder="1" applyAlignment="1" applyProtection="1">
      <alignment horizontal="right" vertical="center" wrapText="1"/>
      <protection locked="0"/>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right" vertical="center" wrapText="1"/>
      <protection locked="0"/>
    </xf>
    <xf numFmtId="4" fontId="18" fillId="0" borderId="2"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vertical="center" wrapText="1"/>
      <protection locked="0"/>
    </xf>
    <xf numFmtId="4" fontId="18" fillId="3" borderId="1" xfId="0" applyNumberFormat="1" applyFont="1" applyFill="1" applyBorder="1" applyAlignment="1" applyProtection="1">
      <alignment horizontal="right" vertical="center" wrapText="1"/>
    </xf>
    <xf numFmtId="4" fontId="18" fillId="0" borderId="1" xfId="2" applyNumberFormat="1" applyFont="1" applyFill="1" applyBorder="1" applyAlignment="1" applyProtection="1">
      <alignment horizontal="right" vertical="center" wrapText="1"/>
      <protection locked="0"/>
    </xf>
    <xf numFmtId="4" fontId="18" fillId="0" borderId="1" xfId="2" applyNumberFormat="1" applyFont="1" applyFill="1" applyBorder="1" applyAlignment="1" applyProtection="1">
      <alignment horizontal="right" vertical="center" wrapText="1"/>
    </xf>
    <xf numFmtId="4" fontId="18"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4" fillId="0" borderId="0" xfId="0" applyFont="1" applyFill="1" applyAlignment="1" applyProtection="1">
      <alignment horizontal="left"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6" fillId="0" borderId="0" xfId="0" applyFont="1" applyFill="1" applyAlignment="1" applyProtection="1">
      <alignment vertical="center" wrapText="1"/>
      <protection locked="0"/>
    </xf>
    <xf numFmtId="0" fontId="26" fillId="0" borderId="0" xfId="0" applyFont="1" applyFill="1" applyAlignment="1" applyProtection="1">
      <alignment horizontal="left" vertical="center" wrapText="1"/>
      <protection locked="0"/>
    </xf>
    <xf numFmtId="4" fontId="18" fillId="5" borderId="1" xfId="0" applyNumberFormat="1" applyFont="1" applyFill="1" applyBorder="1" applyAlignment="1" applyProtection="1">
      <alignment horizontal="right" vertical="center" wrapText="1"/>
    </xf>
    <xf numFmtId="4" fontId="18" fillId="0" borderId="2" xfId="0"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alignment horizontal="right" vertical="center" wrapText="1"/>
      <protection locked="0"/>
    </xf>
    <xf numFmtId="0" fontId="27" fillId="0" borderId="0" xfId="0" applyFont="1" applyFill="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18" fillId="0" borderId="0" xfId="0" applyNumberFormat="1" applyFont="1" applyFill="1" applyAlignment="1" applyProtection="1">
      <alignment vertical="center" wrapText="1"/>
      <protection locked="0"/>
    </xf>
    <xf numFmtId="4" fontId="30" fillId="0" borderId="0" xfId="0" applyNumberFormat="1" applyFont="1" applyFill="1" applyAlignment="1" applyProtection="1">
      <alignment horizontal="right" vertical="center"/>
      <protection locked="0"/>
    </xf>
    <xf numFmtId="0" fontId="30" fillId="0" borderId="0" xfId="0" applyFont="1" applyFill="1" applyAlignment="1" applyProtection="1">
      <alignment horizontal="right" vertical="center"/>
      <protection locked="0"/>
    </xf>
    <xf numFmtId="0" fontId="26" fillId="0" borderId="0" xfId="0" applyFont="1" applyFill="1" applyAlignment="1" applyProtection="1">
      <alignment horizontal="center" vertical="center" wrapText="1"/>
      <protection locked="0"/>
    </xf>
    <xf numFmtId="4" fontId="26" fillId="0" borderId="0" xfId="0" applyNumberFormat="1" applyFont="1" applyFill="1" applyAlignment="1" applyProtection="1">
      <alignment horizontal="center" vertical="center" wrapText="1"/>
      <protection locked="0"/>
    </xf>
    <xf numFmtId="1" fontId="7"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1" fontId="7" fillId="0" borderId="0" xfId="0" applyNumberFormat="1" applyFont="1" applyFill="1" applyAlignment="1" applyProtection="1">
      <alignment horizontal="center" vertical="center" wrapText="1"/>
      <protection locked="0"/>
    </xf>
    <xf numFmtId="0" fontId="14" fillId="0" borderId="2" xfId="0" applyFont="1" applyFill="1" applyBorder="1" applyAlignment="1" applyProtection="1">
      <alignment horizontal="left" vertical="center" wrapText="1"/>
      <protection locked="0"/>
    </xf>
    <xf numFmtId="0" fontId="4" fillId="6" borderId="1" xfId="0" applyFont="1" applyFill="1" applyBorder="1" applyAlignment="1" applyProtection="1">
      <alignment vertical="center" wrapText="1"/>
      <protection locked="0"/>
    </xf>
    <xf numFmtId="0" fontId="15" fillId="0" borderId="1" xfId="0" applyFont="1" applyFill="1" applyBorder="1" applyAlignment="1">
      <alignment vertical="center" wrapText="1"/>
    </xf>
    <xf numFmtId="0" fontId="14" fillId="0" borderId="0" xfId="0" applyFont="1" applyFill="1" applyAlignment="1">
      <alignment wrapText="1"/>
    </xf>
    <xf numFmtId="0" fontId="25" fillId="0" borderId="1" xfId="0" applyFont="1" applyFill="1" applyBorder="1" applyAlignment="1">
      <alignment vertical="top" wrapText="1"/>
    </xf>
    <xf numFmtId="0" fontId="34" fillId="0" borderId="0" xfId="0" applyFont="1" applyAlignment="1">
      <alignment vertical="top" wrapText="1"/>
    </xf>
    <xf numFmtId="0" fontId="9" fillId="0" borderId="1" xfId="0" applyFont="1" applyFill="1" applyBorder="1" applyAlignment="1">
      <alignment horizontal="left" vertical="center" wrapText="1"/>
    </xf>
    <xf numFmtId="0" fontId="14" fillId="0" borderId="1" xfId="0" applyFont="1" applyFill="1" applyBorder="1" applyAlignment="1">
      <alignment horizontal="left" vertical="top" wrapText="1"/>
    </xf>
    <xf numFmtId="0" fontId="35" fillId="0" borderId="0" xfId="0" applyFont="1" applyAlignment="1">
      <alignment vertical="top" wrapText="1"/>
    </xf>
    <xf numFmtId="0" fontId="31" fillId="0" borderId="0" xfId="0" applyNumberFormat="1" applyFont="1" applyFill="1" applyBorder="1" applyAlignment="1" applyProtection="1">
      <alignment horizontal="center" vertical="center" wrapText="1"/>
      <protection locked="0"/>
    </xf>
    <xf numFmtId="4" fontId="21" fillId="0" borderId="1" xfId="0" applyNumberFormat="1" applyFont="1" applyFill="1" applyBorder="1" applyAlignment="1" applyProtection="1">
      <alignment horizontal="center" vertical="center" wrapText="1"/>
      <protection locked="0"/>
    </xf>
    <xf numFmtId="4" fontId="28" fillId="0" borderId="1" xfId="0" applyNumberFormat="1"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9" xfId="0" applyFont="1" applyFill="1" applyBorder="1" applyAlignment="1" applyProtection="1">
      <alignment horizontal="center" vertical="center" wrapText="1"/>
      <protection locked="0"/>
    </xf>
    <xf numFmtId="0" fontId="21"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28" fillId="0" borderId="1" xfId="0" applyNumberFormat="1" applyFont="1" applyBorder="1" applyAlignment="1">
      <alignment horizontal="center" vertical="center"/>
    </xf>
    <xf numFmtId="0" fontId="21" fillId="0" borderId="7" xfId="0" applyNumberFormat="1" applyFont="1" applyFill="1" applyBorder="1" applyAlignment="1" applyProtection="1">
      <alignment horizontal="center" vertical="center"/>
    </xf>
    <xf numFmtId="4" fontId="12" fillId="0" borderId="0" xfId="0" applyNumberFormat="1" applyFont="1" applyFill="1" applyAlignment="1" applyProtection="1">
      <alignment horizontal="left" vertical="center" wrapText="1"/>
      <protection locked="0"/>
    </xf>
    <xf numFmtId="4" fontId="27" fillId="0" borderId="0" xfId="0" applyNumberFormat="1" applyFont="1" applyFill="1" applyAlignment="1" applyProtection="1">
      <alignment horizontal="left" vertical="center" wrapText="1"/>
      <protection locked="0"/>
    </xf>
    <xf numFmtId="0" fontId="32" fillId="0" borderId="0" xfId="0" applyFont="1" applyFill="1" applyAlignment="1" applyProtection="1">
      <alignment horizontal="center" vertical="center" wrapText="1"/>
      <protection locked="0"/>
    </xf>
    <xf numFmtId="4" fontId="17" fillId="0" borderId="0" xfId="0" applyNumberFormat="1" applyFont="1" applyFill="1" applyAlignment="1" applyProtection="1">
      <alignment horizontal="right" vertical="center"/>
      <protection locked="0"/>
    </xf>
    <xf numFmtId="0" fontId="27" fillId="0" borderId="0" xfId="0" applyFont="1" applyFill="1" applyAlignment="1" applyProtection="1">
      <alignment horizontal="center" vertical="center" wrapText="1"/>
      <protection locked="0"/>
    </xf>
    <xf numFmtId="4" fontId="12" fillId="0" borderId="0" xfId="0" applyNumberFormat="1" applyFont="1" applyFill="1" applyAlignment="1" applyProtection="1">
      <alignment horizontal="center" vertical="center" wrapText="1"/>
      <protection locked="0"/>
    </xf>
    <xf numFmtId="4" fontId="17" fillId="0" borderId="0" xfId="0" applyNumberFormat="1" applyFont="1" applyFill="1" applyBorder="1" applyAlignment="1" applyProtection="1">
      <alignment horizontal="center" vertical="top" wrapText="1"/>
      <protection locked="0"/>
    </xf>
    <xf numFmtId="4" fontId="17" fillId="0" borderId="0" xfId="0" applyNumberFormat="1" applyFont="1" applyFill="1" applyAlignment="1" applyProtection="1">
      <alignment horizontal="left" vertical="center" wrapText="1"/>
      <protection locked="0"/>
    </xf>
    <xf numFmtId="0" fontId="21" fillId="0" borderId="1" xfId="0" applyFont="1" applyFill="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0"/>
  <sheetViews>
    <sheetView tabSelected="1" view="pageBreakPreview" zoomScale="48" zoomScaleNormal="60" zoomScaleSheetLayoutView="48" workbookViewId="0">
      <pane xSplit="5" ySplit="11" topLeftCell="F127" activePane="bottomRight" state="frozen"/>
      <selection pane="topRight" activeCell="F1" sqref="F1"/>
      <selection pane="bottomLeft" activeCell="A11" sqref="A11"/>
      <selection pane="bottomRight" activeCell="M3" sqref="M3:Q3"/>
    </sheetView>
  </sheetViews>
  <sheetFormatPr defaultColWidth="9.140625" defaultRowHeight="24.75" customHeight="1"/>
  <cols>
    <col min="1" max="3" width="20.5703125" style="16" customWidth="1"/>
    <col min="4" max="4" width="74.5703125" style="104" customWidth="1"/>
    <col min="5" max="5" width="6.42578125" style="8" hidden="1" customWidth="1"/>
    <col min="6" max="6" width="35.28515625" style="119" customWidth="1"/>
    <col min="7" max="7" width="31.42578125" style="118" customWidth="1"/>
    <col min="8" max="8" width="33.7109375" style="118" customWidth="1"/>
    <col min="9" max="9" width="30.85546875" style="118" customWidth="1"/>
    <col min="10" max="10" width="31.42578125" style="118" customWidth="1"/>
    <col min="11" max="11" width="36.42578125" style="118" customWidth="1"/>
    <col min="12" max="12" width="33.28515625" style="118" customWidth="1"/>
    <col min="13" max="13" width="29.85546875" style="118" customWidth="1"/>
    <col min="14" max="14" width="31.85546875" style="118" customWidth="1"/>
    <col min="15" max="15" width="31" style="118" customWidth="1"/>
    <col min="16" max="16" width="32.42578125" style="118" customWidth="1"/>
    <col min="17" max="17" width="47.28515625" style="118"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09"/>
      <c r="B1" s="109"/>
      <c r="C1" s="109"/>
      <c r="D1" s="110"/>
      <c r="E1" s="109"/>
      <c r="F1" s="114"/>
      <c r="G1" s="115"/>
      <c r="H1" s="115"/>
      <c r="I1" s="115"/>
      <c r="J1" s="115"/>
      <c r="K1" s="115"/>
      <c r="L1" s="115"/>
      <c r="M1" s="115"/>
      <c r="N1" s="150" t="s">
        <v>439</v>
      </c>
      <c r="O1" s="150"/>
      <c r="P1" s="150"/>
      <c r="Q1" s="150"/>
      <c r="T1" s="9"/>
    </row>
    <row r="2" spans="1:20" s="4" customFormat="1" ht="43.5" customHeight="1">
      <c r="A2" s="151" t="s">
        <v>247</v>
      </c>
      <c r="B2" s="151"/>
      <c r="C2" s="151"/>
      <c r="D2" s="151"/>
      <c r="E2" s="151"/>
      <c r="F2" s="151"/>
      <c r="G2" s="151"/>
      <c r="H2" s="151"/>
      <c r="I2" s="151"/>
      <c r="J2" s="151"/>
      <c r="K2" s="151"/>
      <c r="L2" s="151"/>
      <c r="M2" s="151"/>
      <c r="N2" s="152" t="s">
        <v>451</v>
      </c>
      <c r="O2" s="152"/>
      <c r="P2" s="152"/>
      <c r="Q2" s="152"/>
      <c r="T2" s="9"/>
    </row>
    <row r="3" spans="1:20" s="4" customFormat="1" ht="38.85" customHeight="1">
      <c r="A3" s="120"/>
      <c r="B3" s="120"/>
      <c r="C3" s="120"/>
      <c r="D3" s="120"/>
      <c r="E3" s="120"/>
      <c r="F3" s="120"/>
      <c r="G3" s="121"/>
      <c r="H3" s="121"/>
      <c r="I3" s="121"/>
      <c r="J3" s="121"/>
      <c r="K3" s="121"/>
      <c r="L3" s="121"/>
      <c r="M3" s="155" t="s">
        <v>541</v>
      </c>
      <c r="N3" s="155"/>
      <c r="O3" s="155"/>
      <c r="P3" s="155"/>
      <c r="Q3" s="155"/>
      <c r="T3" s="9"/>
    </row>
    <row r="4" spans="1:20" s="4" customFormat="1" ht="37.9" customHeight="1">
      <c r="A4" s="153" t="s">
        <v>450</v>
      </c>
      <c r="B4" s="153"/>
      <c r="C4" s="153"/>
      <c r="D4" s="153"/>
      <c r="E4" s="153"/>
      <c r="F4" s="153"/>
      <c r="G4" s="153"/>
      <c r="H4" s="153"/>
      <c r="I4" s="153"/>
      <c r="J4" s="153"/>
      <c r="K4" s="153"/>
      <c r="L4" s="153"/>
      <c r="M4" s="153"/>
      <c r="N4" s="156"/>
      <c r="O4" s="156"/>
      <c r="P4" s="156"/>
      <c r="Q4" s="156"/>
      <c r="T4" s="9"/>
    </row>
    <row r="5" spans="1:20" s="4" customFormat="1" ht="27.2" customHeight="1">
      <c r="A5" s="148">
        <v>2553800000</v>
      </c>
      <c r="B5" s="148"/>
      <c r="C5" s="148"/>
      <c r="D5" s="100"/>
      <c r="E5" s="12"/>
      <c r="F5" s="18"/>
      <c r="G5" s="113"/>
      <c r="H5" s="113"/>
      <c r="I5" s="113"/>
      <c r="J5" s="113"/>
      <c r="K5" s="154"/>
      <c r="L5" s="154"/>
      <c r="M5" s="154"/>
      <c r="N5" s="149"/>
      <c r="O5" s="149"/>
      <c r="P5" s="149"/>
      <c r="Q5" s="149"/>
      <c r="T5" s="9"/>
    </row>
    <row r="6" spans="1:20" s="4" customFormat="1" ht="17.45" customHeight="1">
      <c r="A6" s="137" t="s">
        <v>361</v>
      </c>
      <c r="B6" s="137"/>
      <c r="C6" s="137"/>
      <c r="D6" s="100"/>
      <c r="E6" s="6"/>
      <c r="F6" s="18"/>
      <c r="G6" s="113"/>
      <c r="H6" s="113"/>
      <c r="I6" s="113"/>
      <c r="J6" s="113"/>
      <c r="K6" s="113"/>
      <c r="L6" s="113"/>
      <c r="M6" s="113"/>
      <c r="N6" s="113"/>
      <c r="O6" s="113"/>
      <c r="P6" s="116"/>
      <c r="Q6" s="116"/>
      <c r="T6" s="9"/>
    </row>
    <row r="7" spans="1:20" s="19" customFormat="1" ht="30.75" customHeight="1">
      <c r="A7" s="138" t="s">
        <v>267</v>
      </c>
      <c r="B7" s="139" t="s">
        <v>407</v>
      </c>
      <c r="C7" s="138" t="s">
        <v>234</v>
      </c>
      <c r="D7" s="142" t="s">
        <v>358</v>
      </c>
      <c r="E7" s="146" t="s">
        <v>51</v>
      </c>
      <c r="F7" s="143" t="s">
        <v>235</v>
      </c>
      <c r="G7" s="144"/>
      <c r="H7" s="144"/>
      <c r="I7" s="144"/>
      <c r="J7" s="145"/>
      <c r="K7" s="135" t="s">
        <v>540</v>
      </c>
      <c r="L7" s="147"/>
      <c r="M7" s="147"/>
      <c r="N7" s="147"/>
      <c r="O7" s="147"/>
      <c r="P7" s="147"/>
      <c r="Q7" s="135" t="s">
        <v>0</v>
      </c>
      <c r="T7" s="20"/>
    </row>
    <row r="8" spans="1:20" s="19" customFormat="1" ht="33" customHeight="1">
      <c r="A8" s="138"/>
      <c r="B8" s="140"/>
      <c r="C8" s="138"/>
      <c r="D8" s="142"/>
      <c r="E8" s="146"/>
      <c r="F8" s="157" t="s">
        <v>166</v>
      </c>
      <c r="G8" s="135" t="s">
        <v>42</v>
      </c>
      <c r="H8" s="135" t="s">
        <v>24</v>
      </c>
      <c r="I8" s="135"/>
      <c r="J8" s="135" t="s">
        <v>43</v>
      </c>
      <c r="K8" s="135" t="s">
        <v>166</v>
      </c>
      <c r="L8" s="135" t="s">
        <v>236</v>
      </c>
      <c r="M8" s="135" t="s">
        <v>44</v>
      </c>
      <c r="N8" s="135" t="s">
        <v>24</v>
      </c>
      <c r="O8" s="135"/>
      <c r="P8" s="135" t="s">
        <v>45</v>
      </c>
      <c r="Q8" s="135"/>
      <c r="T8" s="20"/>
    </row>
    <row r="9" spans="1:20" s="19" customFormat="1" ht="16.5" customHeight="1">
      <c r="A9" s="138"/>
      <c r="B9" s="140"/>
      <c r="C9" s="138"/>
      <c r="D9" s="142"/>
      <c r="E9" s="146"/>
      <c r="F9" s="157"/>
      <c r="G9" s="135"/>
      <c r="H9" s="135" t="s">
        <v>370</v>
      </c>
      <c r="I9" s="135" t="s">
        <v>19</v>
      </c>
      <c r="J9" s="135"/>
      <c r="K9" s="135"/>
      <c r="L9" s="136"/>
      <c r="M9" s="136"/>
      <c r="N9" s="135" t="s">
        <v>371</v>
      </c>
      <c r="O9" s="135" t="s">
        <v>19</v>
      </c>
      <c r="P9" s="136"/>
      <c r="Q9" s="135"/>
      <c r="T9" s="20"/>
    </row>
    <row r="10" spans="1:20" s="19" customFormat="1" ht="108.75" customHeight="1">
      <c r="A10" s="138"/>
      <c r="B10" s="141"/>
      <c r="C10" s="138"/>
      <c r="D10" s="142"/>
      <c r="E10" s="146"/>
      <c r="F10" s="157"/>
      <c r="G10" s="135"/>
      <c r="H10" s="135"/>
      <c r="I10" s="135"/>
      <c r="J10" s="135"/>
      <c r="K10" s="135"/>
      <c r="L10" s="136"/>
      <c r="M10" s="136"/>
      <c r="N10" s="135"/>
      <c r="O10" s="135"/>
      <c r="P10" s="136"/>
      <c r="Q10" s="135"/>
      <c r="T10" s="20"/>
    </row>
    <row r="11" spans="1:20" s="124" customFormat="1" ht="17.100000000000001" customHeight="1">
      <c r="A11" s="122">
        <v>1</v>
      </c>
      <c r="B11" s="122">
        <v>2</v>
      </c>
      <c r="C11" s="122">
        <v>3</v>
      </c>
      <c r="D11" s="122">
        <v>4</v>
      </c>
      <c r="E11" s="122">
        <v>4</v>
      </c>
      <c r="F11" s="123">
        <v>5</v>
      </c>
      <c r="G11" s="123">
        <v>6</v>
      </c>
      <c r="H11" s="123">
        <v>7</v>
      </c>
      <c r="I11" s="123">
        <v>8</v>
      </c>
      <c r="J11" s="123">
        <v>9</v>
      </c>
      <c r="K11" s="123">
        <v>10</v>
      </c>
      <c r="L11" s="123">
        <v>11</v>
      </c>
      <c r="M11" s="123">
        <v>12</v>
      </c>
      <c r="N11" s="123">
        <v>13</v>
      </c>
      <c r="O11" s="123">
        <v>14</v>
      </c>
      <c r="P11" s="123">
        <v>15</v>
      </c>
      <c r="Q11" s="123">
        <v>16</v>
      </c>
    </row>
    <row r="12" spans="1:20" s="10" customFormat="1" ht="94.5" customHeight="1">
      <c r="A12" s="65" t="s">
        <v>99</v>
      </c>
      <c r="B12" s="65" t="s">
        <v>99</v>
      </c>
      <c r="C12" s="66"/>
      <c r="D12" s="67" t="s">
        <v>1</v>
      </c>
      <c r="E12" s="66" t="s">
        <v>1</v>
      </c>
      <c r="F12" s="68">
        <f>F13</f>
        <v>148649789</v>
      </c>
      <c r="G12" s="68">
        <f>G13</f>
        <v>147263389</v>
      </c>
      <c r="H12" s="68">
        <f t="shared" ref="H12:P12" si="0">H13</f>
        <v>58478159</v>
      </c>
      <c r="I12" s="68">
        <f t="shared" si="0"/>
        <v>1725600</v>
      </c>
      <c r="J12" s="68">
        <f t="shared" si="0"/>
        <v>1386400</v>
      </c>
      <c r="K12" s="68">
        <f t="shared" si="0"/>
        <v>52139532</v>
      </c>
      <c r="L12" s="68">
        <f t="shared" si="0"/>
        <v>52059532</v>
      </c>
      <c r="M12" s="68">
        <f t="shared" si="0"/>
        <v>80000</v>
      </c>
      <c r="N12" s="68">
        <f t="shared" si="0"/>
        <v>0</v>
      </c>
      <c r="O12" s="68">
        <f t="shared" si="0"/>
        <v>0</v>
      </c>
      <c r="P12" s="68">
        <f t="shared" si="0"/>
        <v>52059532</v>
      </c>
      <c r="Q12" s="68">
        <f t="shared" ref="Q12:Q82" si="1">F12+K12</f>
        <v>200789321</v>
      </c>
      <c r="R12" s="52"/>
      <c r="S12" s="52"/>
      <c r="T12" s="53"/>
    </row>
    <row r="13" spans="1:20" s="10" customFormat="1" ht="52.35" customHeight="1">
      <c r="A13" s="26" t="s">
        <v>100</v>
      </c>
      <c r="B13" s="26" t="s">
        <v>100</v>
      </c>
      <c r="C13" s="27"/>
      <c r="D13" s="101" t="str">
        <f>D12</f>
        <v>Виконавчий комітет міської ради</v>
      </c>
      <c r="E13" s="27"/>
      <c r="F13" s="89">
        <f>G13+J13</f>
        <v>148649789</v>
      </c>
      <c r="G13" s="89">
        <f t="shared" ref="G13:P13" si="2">SUM(G14:G41)</f>
        <v>147263389</v>
      </c>
      <c r="H13" s="89">
        <f t="shared" si="2"/>
        <v>58478159</v>
      </c>
      <c r="I13" s="89">
        <f t="shared" si="2"/>
        <v>1725600</v>
      </c>
      <c r="J13" s="89">
        <f t="shared" si="2"/>
        <v>1386400</v>
      </c>
      <c r="K13" s="89">
        <f t="shared" si="2"/>
        <v>52139532</v>
      </c>
      <c r="L13" s="89">
        <f t="shared" si="2"/>
        <v>52059532</v>
      </c>
      <c r="M13" s="89">
        <f t="shared" si="2"/>
        <v>80000</v>
      </c>
      <c r="N13" s="89">
        <f t="shared" si="2"/>
        <v>0</v>
      </c>
      <c r="O13" s="89">
        <f t="shared" si="2"/>
        <v>0</v>
      </c>
      <c r="P13" s="89">
        <f t="shared" si="2"/>
        <v>52059532</v>
      </c>
      <c r="Q13" s="89">
        <f t="shared" si="1"/>
        <v>200789321</v>
      </c>
      <c r="R13" s="54"/>
      <c r="S13" s="52"/>
      <c r="T13" s="53"/>
    </row>
    <row r="14" spans="1:20" s="11" customFormat="1" ht="75.599999999999994" customHeight="1">
      <c r="A14" s="78" t="s">
        <v>101</v>
      </c>
      <c r="B14" s="78" t="s">
        <v>268</v>
      </c>
      <c r="C14" s="78" t="s">
        <v>53</v>
      </c>
      <c r="D14" s="33" t="s">
        <v>375</v>
      </c>
      <c r="E14" s="1" t="s">
        <v>2</v>
      </c>
      <c r="F14" s="89">
        <f t="shared" ref="F14:F68" si="3">G14+J14</f>
        <v>75845873</v>
      </c>
      <c r="G14" s="117">
        <f>47803950+11550000+50000+107000+4978+199000+160000+450000+75000+3268959+125000+129037+1671291+354000+197305+9140000+1360000+218000-1017647</f>
        <v>75845873</v>
      </c>
      <c r="H14" s="117">
        <f>35699200+9500000+2768959+1370000+9140000</f>
        <v>58478159</v>
      </c>
      <c r="I14" s="117">
        <f>1414600+160000+3000+148000</f>
        <v>1725600</v>
      </c>
      <c r="J14" s="90"/>
      <c r="K14" s="89">
        <f t="shared" ref="K14:K41" si="4">M14+P14</f>
        <v>2842114</v>
      </c>
      <c r="L14" s="89">
        <f>1000000+600000+50000+268000+42840+1499414-75000-623140</f>
        <v>2762114</v>
      </c>
      <c r="M14" s="89">
        <v>80000</v>
      </c>
      <c r="N14" s="89"/>
      <c r="O14" s="90"/>
      <c r="P14" s="90">
        <f>L14</f>
        <v>2762114</v>
      </c>
      <c r="Q14" s="89">
        <f t="shared" si="1"/>
        <v>78687987</v>
      </c>
      <c r="R14" s="55"/>
      <c r="S14" s="55"/>
      <c r="T14" s="56"/>
    </row>
    <row r="15" spans="1:20" s="11" customFormat="1" ht="51.75" customHeight="1">
      <c r="A15" s="78" t="s">
        <v>108</v>
      </c>
      <c r="B15" s="78" t="s">
        <v>225</v>
      </c>
      <c r="C15" s="78" t="s">
        <v>62</v>
      </c>
      <c r="D15" s="33" t="s">
        <v>487</v>
      </c>
      <c r="E15" s="1"/>
      <c r="F15" s="89">
        <f t="shared" si="3"/>
        <v>1786912</v>
      </c>
      <c r="G15" s="89">
        <f>330000+540000+90000+600000+100000+80000-250000+250000+60000+250000-263088</f>
        <v>1786912</v>
      </c>
      <c r="H15" s="90"/>
      <c r="I15" s="90"/>
      <c r="J15" s="90"/>
      <c r="K15" s="89">
        <f t="shared" si="4"/>
        <v>100000</v>
      </c>
      <c r="L15" s="90">
        <f>100000</f>
        <v>100000</v>
      </c>
      <c r="M15" s="89"/>
      <c r="N15" s="89"/>
      <c r="O15" s="90"/>
      <c r="P15" s="90">
        <f>L15</f>
        <v>100000</v>
      </c>
      <c r="Q15" s="89">
        <f t="shared" si="1"/>
        <v>1886912</v>
      </c>
      <c r="R15" s="55"/>
      <c r="S15" s="55"/>
      <c r="T15" s="56"/>
    </row>
    <row r="16" spans="1:20" s="10" customFormat="1" ht="57.75" customHeight="1">
      <c r="A16" s="78" t="s">
        <v>102</v>
      </c>
      <c r="B16" s="78" t="s">
        <v>269</v>
      </c>
      <c r="C16" s="79" t="s">
        <v>54</v>
      </c>
      <c r="D16" s="34" t="s">
        <v>78</v>
      </c>
      <c r="E16" s="5" t="s">
        <v>52</v>
      </c>
      <c r="F16" s="89">
        <f>G16+J16</f>
        <v>48258056</v>
      </c>
      <c r="G16" s="89">
        <f>20432100+10874350+10000000+2100000+311635+150000-452400+199000+2412771+50000-108000+1000000+30000+1239600+19000</f>
        <v>48258056</v>
      </c>
      <c r="H16" s="90"/>
      <c r="I16" s="90"/>
      <c r="J16" s="90"/>
      <c r="K16" s="89">
        <f t="shared" si="4"/>
        <v>38558000</v>
      </c>
      <c r="L16" s="89">
        <f>20700000+2001551-10000000+50000+6184402+1635598+95000+3000000-2021190-2412771-50000+3670000+1484000+1300000+2000000+1450000+9471410</f>
        <v>38558000</v>
      </c>
      <c r="M16" s="89"/>
      <c r="N16" s="89"/>
      <c r="O16" s="90"/>
      <c r="P16" s="91">
        <f>L16</f>
        <v>38558000</v>
      </c>
      <c r="Q16" s="89">
        <f t="shared" si="1"/>
        <v>86816056</v>
      </c>
      <c r="R16" s="52"/>
      <c r="S16" s="52"/>
      <c r="T16" s="53"/>
    </row>
    <row r="17" spans="1:20" s="10" customFormat="1" ht="66" customHeight="1">
      <c r="A17" s="78" t="s">
        <v>104</v>
      </c>
      <c r="B17" s="78" t="s">
        <v>270</v>
      </c>
      <c r="C17" s="78" t="s">
        <v>55</v>
      </c>
      <c r="D17" s="36" t="s">
        <v>95</v>
      </c>
      <c r="E17" s="3"/>
      <c r="F17" s="89">
        <f t="shared" si="3"/>
        <v>1176000</v>
      </c>
      <c r="G17" s="89">
        <f>1170000+35000+116000-84000-61000</f>
        <v>1176000</v>
      </c>
      <c r="H17" s="90"/>
      <c r="I17" s="90"/>
      <c r="J17" s="90"/>
      <c r="K17" s="89">
        <f t="shared" si="4"/>
        <v>1084000</v>
      </c>
      <c r="L17" s="89">
        <f>500000+500000+84000</f>
        <v>1084000</v>
      </c>
      <c r="M17" s="89"/>
      <c r="N17" s="89"/>
      <c r="O17" s="90"/>
      <c r="P17" s="91">
        <f>L17</f>
        <v>1084000</v>
      </c>
      <c r="Q17" s="89">
        <f t="shared" si="1"/>
        <v>2260000</v>
      </c>
      <c r="R17" s="52"/>
      <c r="S17" s="52"/>
      <c r="T17" s="53"/>
    </row>
    <row r="18" spans="1:20" s="10" customFormat="1" ht="81.75" customHeight="1">
      <c r="A18" s="78" t="s">
        <v>178</v>
      </c>
      <c r="B18" s="78" t="s">
        <v>271</v>
      </c>
      <c r="C18" s="78" t="s">
        <v>179</v>
      </c>
      <c r="D18" s="36" t="s">
        <v>364</v>
      </c>
      <c r="E18" s="3"/>
      <c r="F18" s="89">
        <f t="shared" si="3"/>
        <v>9342800</v>
      </c>
      <c r="G18" s="89">
        <f>7696300+175800+1000000+1720700-1250000</f>
        <v>9342800</v>
      </c>
      <c r="H18" s="90"/>
      <c r="I18" s="90"/>
      <c r="J18" s="90"/>
      <c r="K18" s="89">
        <f t="shared" si="4"/>
        <v>0</v>
      </c>
      <c r="L18" s="89"/>
      <c r="M18" s="89"/>
      <c r="N18" s="89"/>
      <c r="O18" s="90"/>
      <c r="P18" s="90"/>
      <c r="Q18" s="89">
        <f t="shared" si="1"/>
        <v>9342800</v>
      </c>
      <c r="R18" s="52"/>
      <c r="S18" s="52"/>
      <c r="T18" s="53"/>
    </row>
    <row r="19" spans="1:20" s="10" customFormat="1" ht="57.2" customHeight="1">
      <c r="A19" s="78" t="s">
        <v>103</v>
      </c>
      <c r="B19" s="78" t="s">
        <v>272</v>
      </c>
      <c r="C19" s="78" t="s">
        <v>56</v>
      </c>
      <c r="D19" s="36" t="s">
        <v>96</v>
      </c>
      <c r="E19" s="3"/>
      <c r="F19" s="89">
        <f t="shared" si="3"/>
        <v>482600</v>
      </c>
      <c r="G19" s="89">
        <f>40000+442600</f>
        <v>482600</v>
      </c>
      <c r="H19" s="90"/>
      <c r="I19" s="90"/>
      <c r="J19" s="90"/>
      <c r="K19" s="89">
        <f t="shared" si="4"/>
        <v>0</v>
      </c>
      <c r="L19" s="89"/>
      <c r="M19" s="89"/>
      <c r="N19" s="89"/>
      <c r="O19" s="90"/>
      <c r="P19" s="91"/>
      <c r="Q19" s="89">
        <f t="shared" si="1"/>
        <v>482600</v>
      </c>
      <c r="R19" s="52"/>
      <c r="S19" s="52"/>
      <c r="T19" s="53"/>
    </row>
    <row r="20" spans="1:20" s="10" customFormat="1" ht="55.7" hidden="1" customHeight="1">
      <c r="A20" s="78" t="s">
        <v>192</v>
      </c>
      <c r="B20" s="78" t="s">
        <v>273</v>
      </c>
      <c r="C20" s="78" t="s">
        <v>56</v>
      </c>
      <c r="D20" s="36" t="s">
        <v>203</v>
      </c>
      <c r="E20" s="3"/>
      <c r="F20" s="89">
        <f t="shared" si="3"/>
        <v>0</v>
      </c>
      <c r="G20" s="89"/>
      <c r="H20" s="90"/>
      <c r="I20" s="90"/>
      <c r="J20" s="90"/>
      <c r="K20" s="89">
        <f t="shared" si="4"/>
        <v>0</v>
      </c>
      <c r="L20" s="89"/>
      <c r="M20" s="89"/>
      <c r="N20" s="89"/>
      <c r="O20" s="90"/>
      <c r="P20" s="90"/>
      <c r="Q20" s="89">
        <f t="shared" si="1"/>
        <v>0</v>
      </c>
      <c r="R20" s="52"/>
      <c r="S20" s="52"/>
      <c r="T20" s="53"/>
    </row>
    <row r="21" spans="1:20" s="10" customFormat="1" ht="55.7" hidden="1" customHeight="1">
      <c r="A21" s="78" t="s">
        <v>180</v>
      </c>
      <c r="B21" s="78" t="s">
        <v>274</v>
      </c>
      <c r="C21" s="78" t="s">
        <v>56</v>
      </c>
      <c r="D21" s="35" t="s">
        <v>237</v>
      </c>
      <c r="E21" s="3"/>
      <c r="F21" s="89">
        <f t="shared" si="3"/>
        <v>0</v>
      </c>
      <c r="G21" s="89"/>
      <c r="H21" s="90"/>
      <c r="I21" s="90"/>
      <c r="J21" s="90"/>
      <c r="K21" s="89">
        <f t="shared" si="4"/>
        <v>0</v>
      </c>
      <c r="L21" s="89"/>
      <c r="M21" s="89"/>
      <c r="N21" s="89"/>
      <c r="O21" s="90"/>
      <c r="P21" s="90"/>
      <c r="Q21" s="89">
        <f t="shared" si="1"/>
        <v>0</v>
      </c>
      <c r="R21" s="52"/>
      <c r="S21" s="52"/>
      <c r="T21" s="53"/>
    </row>
    <row r="22" spans="1:20" s="10" customFormat="1" ht="51.75" customHeight="1">
      <c r="A22" s="78" t="s">
        <v>448</v>
      </c>
      <c r="B22" s="78" t="s">
        <v>275</v>
      </c>
      <c r="C22" s="78" t="s">
        <v>56</v>
      </c>
      <c r="D22" s="35" t="s">
        <v>238</v>
      </c>
      <c r="E22" s="3"/>
      <c r="F22" s="89">
        <f t="shared" si="3"/>
        <v>400000</v>
      </c>
      <c r="G22" s="92">
        <f>100000+200000+100000</f>
        <v>400000</v>
      </c>
      <c r="H22" s="93"/>
      <c r="I22" s="93"/>
      <c r="J22" s="93"/>
      <c r="K22" s="89">
        <f t="shared" si="4"/>
        <v>0</v>
      </c>
      <c r="L22" s="92"/>
      <c r="M22" s="92"/>
      <c r="N22" s="92"/>
      <c r="O22" s="93"/>
      <c r="P22" s="93"/>
      <c r="Q22" s="89">
        <f t="shared" si="1"/>
        <v>400000</v>
      </c>
      <c r="R22" s="52"/>
      <c r="S22" s="52"/>
      <c r="T22" s="53"/>
    </row>
    <row r="23" spans="1:20" s="4" customFormat="1" ht="42" hidden="1" customHeight="1">
      <c r="A23" s="78" t="s">
        <v>442</v>
      </c>
      <c r="B23" s="78" t="s">
        <v>443</v>
      </c>
      <c r="C23" s="78" t="s">
        <v>56</v>
      </c>
      <c r="D23" s="25" t="s">
        <v>444</v>
      </c>
      <c r="E23" s="3"/>
      <c r="F23" s="89">
        <f t="shared" si="3"/>
        <v>0</v>
      </c>
      <c r="G23" s="92"/>
      <c r="H23" s="93"/>
      <c r="I23" s="93"/>
      <c r="J23" s="93"/>
      <c r="K23" s="89">
        <f>M23+P23</f>
        <v>0</v>
      </c>
      <c r="L23" s="92"/>
      <c r="M23" s="92"/>
      <c r="N23" s="92"/>
      <c r="O23" s="93"/>
      <c r="P23" s="93">
        <f>L23</f>
        <v>0</v>
      </c>
      <c r="Q23" s="89">
        <f t="shared" si="1"/>
        <v>0</v>
      </c>
      <c r="R23" s="57"/>
      <c r="S23" s="57"/>
      <c r="T23" s="56"/>
    </row>
    <row r="24" spans="1:20" s="4" customFormat="1" ht="57.6" customHeight="1">
      <c r="A24" s="78" t="s">
        <v>105</v>
      </c>
      <c r="B24" s="78" t="s">
        <v>276</v>
      </c>
      <c r="C24" s="78" t="s">
        <v>58</v>
      </c>
      <c r="D24" s="35" t="s">
        <v>79</v>
      </c>
      <c r="E24" s="3" t="s">
        <v>34</v>
      </c>
      <c r="F24" s="89">
        <f t="shared" si="3"/>
        <v>172300</v>
      </c>
      <c r="G24" s="89">
        <f>30000+175000-32700</f>
        <v>172300</v>
      </c>
      <c r="H24" s="90"/>
      <c r="I24" s="90"/>
      <c r="J24" s="90"/>
      <c r="K24" s="89">
        <f t="shared" si="4"/>
        <v>0</v>
      </c>
      <c r="L24" s="89"/>
      <c r="M24" s="89"/>
      <c r="N24" s="89"/>
      <c r="O24" s="90"/>
      <c r="P24" s="90"/>
      <c r="Q24" s="89">
        <f t="shared" si="1"/>
        <v>172300</v>
      </c>
      <c r="R24" s="57"/>
      <c r="S24" s="57"/>
      <c r="T24" s="56"/>
    </row>
    <row r="25" spans="1:20" s="4" customFormat="1" ht="53.65" customHeight="1">
      <c r="A25" s="78" t="s">
        <v>412</v>
      </c>
      <c r="B25" s="78" t="s">
        <v>413</v>
      </c>
      <c r="C25" s="78" t="s">
        <v>58</v>
      </c>
      <c r="D25" s="25" t="s">
        <v>505</v>
      </c>
      <c r="E25" s="3"/>
      <c r="F25" s="89">
        <f t="shared" si="3"/>
        <v>215384</v>
      </c>
      <c r="G25" s="89">
        <f>20000+100000+100000-4616</f>
        <v>215384</v>
      </c>
      <c r="H25" s="90"/>
      <c r="I25" s="90"/>
      <c r="J25" s="90"/>
      <c r="K25" s="89">
        <f t="shared" si="4"/>
        <v>0</v>
      </c>
      <c r="L25" s="89"/>
      <c r="M25" s="89"/>
      <c r="N25" s="89"/>
      <c r="O25" s="90"/>
      <c r="P25" s="90"/>
      <c r="Q25" s="89">
        <f t="shared" si="1"/>
        <v>215384</v>
      </c>
      <c r="R25" s="57"/>
      <c r="S25" s="57"/>
      <c r="T25" s="56"/>
    </row>
    <row r="26" spans="1:20" s="4" customFormat="1" ht="91.35" customHeight="1">
      <c r="A26" s="78" t="s">
        <v>106</v>
      </c>
      <c r="B26" s="78" t="s">
        <v>277</v>
      </c>
      <c r="C26" s="78" t="s">
        <v>58</v>
      </c>
      <c r="D26" s="35" t="s">
        <v>97</v>
      </c>
      <c r="E26" s="3" t="s">
        <v>15</v>
      </c>
      <c r="F26" s="89">
        <f t="shared" si="3"/>
        <v>49900</v>
      </c>
      <c r="G26" s="89">
        <f>20000+45000-10100-5000</f>
        <v>49900</v>
      </c>
      <c r="H26" s="90"/>
      <c r="I26" s="90"/>
      <c r="J26" s="90"/>
      <c r="K26" s="89">
        <f t="shared" si="4"/>
        <v>0</v>
      </c>
      <c r="L26" s="89"/>
      <c r="M26" s="89"/>
      <c r="N26" s="89"/>
      <c r="O26" s="90"/>
      <c r="P26" s="90"/>
      <c r="Q26" s="89">
        <f t="shared" si="1"/>
        <v>49900</v>
      </c>
      <c r="R26" s="57"/>
      <c r="S26" s="57"/>
      <c r="T26" s="56"/>
    </row>
    <row r="27" spans="1:20" s="4" customFormat="1" ht="106.5" customHeight="1">
      <c r="A27" s="78" t="s">
        <v>264</v>
      </c>
      <c r="B27" s="78" t="s">
        <v>278</v>
      </c>
      <c r="C27" s="78" t="s">
        <v>58</v>
      </c>
      <c r="D27" s="35" t="s">
        <v>454</v>
      </c>
      <c r="E27" s="3"/>
      <c r="F27" s="89">
        <f t="shared" si="3"/>
        <v>1472000</v>
      </c>
      <c r="G27" s="89">
        <f>5000+1245000+200000+100000-78000</f>
        <v>1472000</v>
      </c>
      <c r="H27" s="90"/>
      <c r="I27" s="90"/>
      <c r="J27" s="90"/>
      <c r="K27" s="89">
        <f t="shared" si="4"/>
        <v>0</v>
      </c>
      <c r="L27" s="89"/>
      <c r="M27" s="89"/>
      <c r="N27" s="89"/>
      <c r="O27" s="90"/>
      <c r="P27" s="90">
        <f>L27</f>
        <v>0</v>
      </c>
      <c r="Q27" s="89">
        <f t="shared" si="1"/>
        <v>1472000</v>
      </c>
      <c r="R27" s="57"/>
      <c r="S27" s="57"/>
      <c r="T27" s="56"/>
    </row>
    <row r="28" spans="1:20" s="4" customFormat="1" ht="136.5" customHeight="1">
      <c r="A28" s="78" t="s">
        <v>509</v>
      </c>
      <c r="B28" s="78" t="s">
        <v>480</v>
      </c>
      <c r="C28" s="78" t="s">
        <v>68</v>
      </c>
      <c r="D28" s="25" t="s">
        <v>510</v>
      </c>
      <c r="E28" s="3"/>
      <c r="F28" s="89">
        <f t="shared" si="3"/>
        <v>220340</v>
      </c>
      <c r="G28" s="89">
        <f>68980+11400+122860+16100+1000</f>
        <v>220340</v>
      </c>
      <c r="H28" s="90"/>
      <c r="I28" s="90"/>
      <c r="J28" s="90"/>
      <c r="K28" s="89">
        <f t="shared" si="4"/>
        <v>0</v>
      </c>
      <c r="L28" s="89"/>
      <c r="M28" s="89"/>
      <c r="N28" s="89"/>
      <c r="O28" s="90"/>
      <c r="P28" s="90"/>
      <c r="Q28" s="89">
        <f t="shared" si="1"/>
        <v>220340</v>
      </c>
      <c r="R28" s="57"/>
      <c r="S28" s="57"/>
      <c r="T28" s="56"/>
    </row>
    <row r="29" spans="1:20" s="4" customFormat="1" ht="79.5" customHeight="1">
      <c r="A29" s="78" t="s">
        <v>456</v>
      </c>
      <c r="B29" s="78" t="s">
        <v>457</v>
      </c>
      <c r="C29" s="78" t="s">
        <v>68</v>
      </c>
      <c r="D29" s="41" t="s">
        <v>488</v>
      </c>
      <c r="E29" s="3"/>
      <c r="F29" s="89">
        <f t="shared" si="3"/>
        <v>250000</v>
      </c>
      <c r="G29" s="89">
        <v>250000</v>
      </c>
      <c r="H29" s="90"/>
      <c r="I29" s="90"/>
      <c r="J29" s="90"/>
      <c r="K29" s="89">
        <f t="shared" si="4"/>
        <v>0</v>
      </c>
      <c r="L29" s="89"/>
      <c r="M29" s="89"/>
      <c r="N29" s="89"/>
      <c r="O29" s="90"/>
      <c r="P29" s="90"/>
      <c r="Q29" s="89">
        <f t="shared" si="1"/>
        <v>250000</v>
      </c>
      <c r="R29" s="57"/>
      <c r="S29" s="57"/>
      <c r="T29" s="56"/>
    </row>
    <row r="30" spans="1:20" s="4" customFormat="1" ht="54.75" customHeight="1">
      <c r="A30" s="78" t="s">
        <v>181</v>
      </c>
      <c r="B30" s="78" t="s">
        <v>279</v>
      </c>
      <c r="C30" s="78" t="s">
        <v>57</v>
      </c>
      <c r="D30" s="35" t="s">
        <v>182</v>
      </c>
      <c r="E30" s="3"/>
      <c r="F30" s="89">
        <f t="shared" si="3"/>
        <v>480000</v>
      </c>
      <c r="G30" s="89">
        <f>120000+360000</f>
        <v>480000</v>
      </c>
      <c r="H30" s="90"/>
      <c r="I30" s="90"/>
      <c r="J30" s="90"/>
      <c r="K30" s="89">
        <f t="shared" si="4"/>
        <v>0</v>
      </c>
      <c r="L30" s="89"/>
      <c r="M30" s="89"/>
      <c r="N30" s="89"/>
      <c r="O30" s="90"/>
      <c r="P30" s="90"/>
      <c r="Q30" s="89">
        <f t="shared" si="1"/>
        <v>480000</v>
      </c>
      <c r="R30" s="57"/>
      <c r="S30" s="57"/>
      <c r="T30" s="56"/>
    </row>
    <row r="31" spans="1:20" s="4" customFormat="1" ht="67.900000000000006" customHeight="1">
      <c r="A31" s="78" t="s">
        <v>477</v>
      </c>
      <c r="B31" s="78" t="s">
        <v>476</v>
      </c>
      <c r="C31" s="78" t="s">
        <v>246</v>
      </c>
      <c r="D31" s="25" t="s">
        <v>478</v>
      </c>
      <c r="E31" s="3" t="s">
        <v>18</v>
      </c>
      <c r="F31" s="89">
        <f t="shared" si="3"/>
        <v>0</v>
      </c>
      <c r="G31" s="89"/>
      <c r="H31" s="90"/>
      <c r="I31" s="90"/>
      <c r="J31" s="90"/>
      <c r="K31" s="89">
        <f t="shared" si="4"/>
        <v>0</v>
      </c>
      <c r="L31" s="89">
        <f>1500000-1500000</f>
        <v>0</v>
      </c>
      <c r="M31" s="89"/>
      <c r="N31" s="89"/>
      <c r="O31" s="90"/>
      <c r="P31" s="90">
        <f t="shared" ref="P31:P35" si="5">L31</f>
        <v>0</v>
      </c>
      <c r="Q31" s="89">
        <f t="shared" si="1"/>
        <v>0</v>
      </c>
      <c r="R31" s="57"/>
      <c r="S31" s="57"/>
      <c r="T31" s="56"/>
    </row>
    <row r="32" spans="1:20" s="4" customFormat="1" ht="45" customHeight="1">
      <c r="A32" s="78" t="s">
        <v>434</v>
      </c>
      <c r="B32" s="78" t="s">
        <v>331</v>
      </c>
      <c r="C32" s="78" t="s">
        <v>73</v>
      </c>
      <c r="D32" s="34" t="s">
        <v>424</v>
      </c>
      <c r="E32" s="3"/>
      <c r="F32" s="89">
        <f t="shared" si="3"/>
        <v>0</v>
      </c>
      <c r="G32" s="92"/>
      <c r="H32" s="93"/>
      <c r="I32" s="93"/>
      <c r="J32" s="93"/>
      <c r="K32" s="89">
        <f t="shared" si="4"/>
        <v>144494</v>
      </c>
      <c r="L32" s="92">
        <f>245000-99924+561950-707026+2615011-2470517</f>
        <v>144494</v>
      </c>
      <c r="M32" s="92"/>
      <c r="N32" s="92"/>
      <c r="O32" s="93"/>
      <c r="P32" s="93">
        <f>L32</f>
        <v>144494</v>
      </c>
      <c r="Q32" s="89">
        <f t="shared" si="1"/>
        <v>144494</v>
      </c>
      <c r="R32" s="57"/>
      <c r="S32" s="57"/>
      <c r="T32" s="56"/>
    </row>
    <row r="33" spans="1:20" s="4" customFormat="1" ht="67.900000000000006" customHeight="1">
      <c r="A33" s="78" t="s">
        <v>340</v>
      </c>
      <c r="B33" s="78" t="s">
        <v>332</v>
      </c>
      <c r="C33" s="78" t="s">
        <v>73</v>
      </c>
      <c r="D33" s="25" t="s">
        <v>341</v>
      </c>
      <c r="E33" s="3"/>
      <c r="F33" s="89">
        <f t="shared" si="3"/>
        <v>0</v>
      </c>
      <c r="G33" s="92">
        <f>200000-200000</f>
        <v>0</v>
      </c>
      <c r="H33" s="93"/>
      <c r="I33" s="93"/>
      <c r="J33" s="93"/>
      <c r="K33" s="89">
        <f t="shared" si="4"/>
        <v>0</v>
      </c>
      <c r="L33" s="92">
        <f>2000000-245000-600000-83000+1000000-1600000-472000</f>
        <v>0</v>
      </c>
      <c r="M33" s="92"/>
      <c r="N33" s="92"/>
      <c r="O33" s="93"/>
      <c r="P33" s="93">
        <f t="shared" si="5"/>
        <v>0</v>
      </c>
      <c r="Q33" s="89">
        <f t="shared" si="1"/>
        <v>0</v>
      </c>
      <c r="R33" s="57"/>
      <c r="S33" s="57"/>
      <c r="T33" s="56"/>
    </row>
    <row r="34" spans="1:20" s="4" customFormat="1" ht="73.5" customHeight="1">
      <c r="A34" s="78" t="s">
        <v>171</v>
      </c>
      <c r="B34" s="78" t="s">
        <v>281</v>
      </c>
      <c r="C34" s="78" t="s">
        <v>170</v>
      </c>
      <c r="D34" s="25" t="s">
        <v>363</v>
      </c>
      <c r="E34" s="3"/>
      <c r="F34" s="89">
        <f t="shared" si="3"/>
        <v>0</v>
      </c>
      <c r="G34" s="89">
        <v>0</v>
      </c>
      <c r="H34" s="90"/>
      <c r="I34" s="90"/>
      <c r="J34" s="90"/>
      <c r="K34" s="89">
        <f>M34+P34</f>
        <v>0</v>
      </c>
      <c r="L34" s="89"/>
      <c r="M34" s="89"/>
      <c r="N34" s="89"/>
      <c r="O34" s="90"/>
      <c r="P34" s="90">
        <f t="shared" si="5"/>
        <v>0</v>
      </c>
      <c r="Q34" s="89">
        <f>F34+K34</f>
        <v>0</v>
      </c>
      <c r="R34" s="57"/>
      <c r="S34" s="57"/>
      <c r="T34" s="56"/>
    </row>
    <row r="35" spans="1:20" s="4" customFormat="1" ht="80.25" customHeight="1">
      <c r="A35" s="78" t="s">
        <v>342</v>
      </c>
      <c r="B35" s="78" t="s">
        <v>343</v>
      </c>
      <c r="C35" s="78" t="s">
        <v>344</v>
      </c>
      <c r="D35" s="25" t="s">
        <v>345</v>
      </c>
      <c r="E35" s="3"/>
      <c r="F35" s="89">
        <f>G35+J35</f>
        <v>1817400</v>
      </c>
      <c r="G35" s="89">
        <f>771000+99924-99924-260000</f>
        <v>511000</v>
      </c>
      <c r="H35" s="90"/>
      <c r="I35" s="90"/>
      <c r="J35" s="90">
        <f>395000+160000+24000+452400+275000</f>
        <v>1306400</v>
      </c>
      <c r="K35" s="89">
        <f t="shared" si="4"/>
        <v>476924</v>
      </c>
      <c r="L35" s="89">
        <f>307985+195000+374000+108000+99924+2307026-2615011-300000</f>
        <v>476924</v>
      </c>
      <c r="M35" s="89"/>
      <c r="N35" s="89"/>
      <c r="O35" s="90"/>
      <c r="P35" s="90">
        <f t="shared" si="5"/>
        <v>476924</v>
      </c>
      <c r="Q35" s="89">
        <f t="shared" si="1"/>
        <v>2294324</v>
      </c>
      <c r="R35" s="57"/>
      <c r="S35" s="57"/>
      <c r="T35" s="56"/>
    </row>
    <row r="36" spans="1:20" s="4" customFormat="1" ht="80.25" customHeight="1">
      <c r="A36" s="78" t="s">
        <v>231</v>
      </c>
      <c r="B36" s="78" t="s">
        <v>284</v>
      </c>
      <c r="C36" s="78" t="s">
        <v>170</v>
      </c>
      <c r="D36" s="35" t="s">
        <v>232</v>
      </c>
      <c r="E36" s="3"/>
      <c r="F36" s="89">
        <f t="shared" si="3"/>
        <v>95022</v>
      </c>
      <c r="G36" s="89">
        <f>100000-4978</f>
        <v>95022</v>
      </c>
      <c r="H36" s="90"/>
      <c r="I36" s="90"/>
      <c r="J36" s="90"/>
      <c r="K36" s="89">
        <f t="shared" si="4"/>
        <v>0</v>
      </c>
      <c r="L36" s="89"/>
      <c r="M36" s="89"/>
      <c r="N36" s="89"/>
      <c r="O36" s="90"/>
      <c r="P36" s="90"/>
      <c r="Q36" s="89">
        <f t="shared" si="1"/>
        <v>95022</v>
      </c>
      <c r="R36" s="57"/>
      <c r="S36" s="57"/>
      <c r="T36" s="56"/>
    </row>
    <row r="37" spans="1:20" s="4" customFormat="1" ht="80.25" customHeight="1">
      <c r="A37" s="78" t="s">
        <v>447</v>
      </c>
      <c r="B37" s="78" t="s">
        <v>366</v>
      </c>
      <c r="C37" s="78" t="s">
        <v>170</v>
      </c>
      <c r="D37" s="35" t="s">
        <v>367</v>
      </c>
      <c r="E37" s="3"/>
      <c r="F37" s="89">
        <f t="shared" si="3"/>
        <v>80000</v>
      </c>
      <c r="G37" s="92">
        <v>0</v>
      </c>
      <c r="H37" s="93"/>
      <c r="I37" s="93"/>
      <c r="J37" s="93">
        <f>100000-20000</f>
        <v>80000</v>
      </c>
      <c r="K37" s="89">
        <f t="shared" si="4"/>
        <v>0</v>
      </c>
      <c r="L37" s="92"/>
      <c r="M37" s="92"/>
      <c r="N37" s="92"/>
      <c r="O37" s="93"/>
      <c r="P37" s="93"/>
      <c r="Q37" s="89">
        <f t="shared" si="1"/>
        <v>80000</v>
      </c>
      <c r="R37" s="57"/>
      <c r="S37" s="57"/>
      <c r="T37" s="56"/>
    </row>
    <row r="38" spans="1:20" s="4" customFormat="1" ht="80.25" customHeight="1">
      <c r="A38" s="78" t="s">
        <v>107</v>
      </c>
      <c r="B38" s="78" t="s">
        <v>285</v>
      </c>
      <c r="C38" s="78" t="s">
        <v>61</v>
      </c>
      <c r="D38" s="25" t="s">
        <v>215</v>
      </c>
      <c r="E38" s="3"/>
      <c r="F38" s="89">
        <f t="shared" si="3"/>
        <v>649000</v>
      </c>
      <c r="G38" s="89">
        <f>100000+50000+700000-200000-1000</f>
        <v>649000</v>
      </c>
      <c r="H38" s="90"/>
      <c r="I38" s="90"/>
      <c r="J38" s="90"/>
      <c r="K38" s="89">
        <f t="shared" si="4"/>
        <v>926000</v>
      </c>
      <c r="L38" s="89">
        <f>875000+50000-54000+55000</f>
        <v>926000</v>
      </c>
      <c r="M38" s="89"/>
      <c r="N38" s="89"/>
      <c r="O38" s="90"/>
      <c r="P38" s="90">
        <f>L38</f>
        <v>926000</v>
      </c>
      <c r="Q38" s="89">
        <f t="shared" si="1"/>
        <v>1575000</v>
      </c>
      <c r="R38" s="57"/>
      <c r="S38" s="57"/>
      <c r="T38" s="56"/>
    </row>
    <row r="39" spans="1:20" s="4" customFormat="1" ht="80.25" customHeight="1">
      <c r="A39" s="80" t="s">
        <v>372</v>
      </c>
      <c r="B39" s="80" t="s">
        <v>373</v>
      </c>
      <c r="C39" s="80" t="s">
        <v>348</v>
      </c>
      <c r="D39" s="37" t="s">
        <v>374</v>
      </c>
      <c r="E39" s="3"/>
      <c r="F39" s="89">
        <f t="shared" si="3"/>
        <v>3911800</v>
      </c>
      <c r="G39" s="92">
        <f>2700000+750000+21800+100000+340000</f>
        <v>3911800</v>
      </c>
      <c r="H39" s="93"/>
      <c r="I39" s="93"/>
      <c r="J39" s="93"/>
      <c r="K39" s="89">
        <f t="shared" si="4"/>
        <v>80000</v>
      </c>
      <c r="L39" s="92">
        <f>80000</f>
        <v>80000</v>
      </c>
      <c r="M39" s="92"/>
      <c r="N39" s="92"/>
      <c r="O39" s="93"/>
      <c r="P39" s="93">
        <f>L39</f>
        <v>80000</v>
      </c>
      <c r="Q39" s="89">
        <f t="shared" si="1"/>
        <v>3991800</v>
      </c>
      <c r="R39" s="57"/>
      <c r="S39" s="57"/>
      <c r="T39" s="56"/>
    </row>
    <row r="40" spans="1:20" s="4" customFormat="1" ht="80.25" customHeight="1">
      <c r="A40" s="80" t="s">
        <v>346</v>
      </c>
      <c r="B40" s="80" t="s">
        <v>347</v>
      </c>
      <c r="C40" s="80" t="s">
        <v>348</v>
      </c>
      <c r="D40" s="37" t="s">
        <v>349</v>
      </c>
      <c r="E40" s="3" t="s">
        <v>4</v>
      </c>
      <c r="F40" s="89">
        <f t="shared" si="3"/>
        <v>100000</v>
      </c>
      <c r="G40" s="92">
        <f>200000-100000</f>
        <v>100000</v>
      </c>
      <c r="H40" s="93"/>
      <c r="I40" s="93">
        <v>0</v>
      </c>
      <c r="J40" s="93"/>
      <c r="K40" s="89">
        <f t="shared" si="4"/>
        <v>0</v>
      </c>
      <c r="L40" s="92"/>
      <c r="M40" s="92"/>
      <c r="N40" s="92"/>
      <c r="O40" s="93"/>
      <c r="P40" s="93"/>
      <c r="Q40" s="89">
        <f t="shared" si="1"/>
        <v>100000</v>
      </c>
      <c r="R40" s="57"/>
      <c r="S40" s="57"/>
      <c r="T40" s="56"/>
    </row>
    <row r="41" spans="1:20" s="4" customFormat="1" ht="80.25" customHeight="1">
      <c r="A41" s="78" t="s">
        <v>417</v>
      </c>
      <c r="B41" s="78" t="s">
        <v>418</v>
      </c>
      <c r="C41" s="78" t="s">
        <v>348</v>
      </c>
      <c r="D41" s="35" t="s">
        <v>420</v>
      </c>
      <c r="E41" s="21"/>
      <c r="F41" s="89">
        <f t="shared" si="3"/>
        <v>1844402</v>
      </c>
      <c r="G41" s="89">
        <f>3300000-95000-810598-250000+250000-200000+150000-500000</f>
        <v>1844402</v>
      </c>
      <c r="H41" s="90"/>
      <c r="I41" s="90"/>
      <c r="J41" s="90"/>
      <c r="K41" s="89">
        <f t="shared" si="4"/>
        <v>7928000</v>
      </c>
      <c r="L41" s="89">
        <f>3600000+5600000+228000-1500000</f>
        <v>7928000</v>
      </c>
      <c r="M41" s="89"/>
      <c r="N41" s="89"/>
      <c r="O41" s="90"/>
      <c r="P41" s="90">
        <f>L41</f>
        <v>7928000</v>
      </c>
      <c r="Q41" s="89">
        <f t="shared" si="1"/>
        <v>9772402</v>
      </c>
      <c r="R41" s="57"/>
      <c r="S41" s="57"/>
      <c r="T41" s="56"/>
    </row>
    <row r="42" spans="1:20" s="12" customFormat="1" ht="75.75" customHeight="1">
      <c r="A42" s="65" t="s">
        <v>111</v>
      </c>
      <c r="B42" s="65" t="s">
        <v>111</v>
      </c>
      <c r="C42" s="69"/>
      <c r="D42" s="70" t="s">
        <v>25</v>
      </c>
      <c r="E42" s="69" t="s">
        <v>25</v>
      </c>
      <c r="F42" s="111">
        <f t="shared" si="3"/>
        <v>380759213</v>
      </c>
      <c r="G42" s="68">
        <f t="shared" ref="G42:P42" si="6">G43</f>
        <v>380759213</v>
      </c>
      <c r="H42" s="68">
        <f t="shared" si="6"/>
        <v>226387050</v>
      </c>
      <c r="I42" s="68">
        <f t="shared" si="6"/>
        <v>40467087</v>
      </c>
      <c r="J42" s="68">
        <f t="shared" si="6"/>
        <v>0</v>
      </c>
      <c r="K42" s="68">
        <f t="shared" si="6"/>
        <v>70927689.120000005</v>
      </c>
      <c r="L42" s="68">
        <f t="shared" si="6"/>
        <v>37774894.009999998</v>
      </c>
      <c r="M42" s="68">
        <f t="shared" si="6"/>
        <v>33152795.109999999</v>
      </c>
      <c r="N42" s="68">
        <f t="shared" si="6"/>
        <v>653900</v>
      </c>
      <c r="O42" s="68">
        <f t="shared" si="6"/>
        <v>284800</v>
      </c>
      <c r="P42" s="68">
        <f t="shared" si="6"/>
        <v>37774894.009999998</v>
      </c>
      <c r="Q42" s="68">
        <f t="shared" si="1"/>
        <v>451686902.12</v>
      </c>
      <c r="R42" s="58"/>
      <c r="S42" s="58"/>
      <c r="T42" s="53"/>
    </row>
    <row r="43" spans="1:20" s="12" customFormat="1" ht="55.9" customHeight="1">
      <c r="A43" s="82" t="s">
        <v>112</v>
      </c>
      <c r="B43" s="82" t="s">
        <v>112</v>
      </c>
      <c r="C43" s="83"/>
      <c r="D43" s="31" t="s">
        <v>144</v>
      </c>
      <c r="E43" s="28"/>
      <c r="F43" s="89">
        <f t="shared" si="3"/>
        <v>380759213</v>
      </c>
      <c r="G43" s="89">
        <f>SUM(G44:G76)-G48-G50-G55-G56-G59-G60</f>
        <v>380759213</v>
      </c>
      <c r="H43" s="89">
        <f t="shared" ref="H43:I43" si="7">SUM(H44:H76)-H48-H50-H55-H56-H59-H60</f>
        <v>226387050</v>
      </c>
      <c r="I43" s="89">
        <f t="shared" si="7"/>
        <v>40467087</v>
      </c>
      <c r="J43" s="89">
        <f t="shared" ref="J43:P43" si="8">SUM(J44:J76)-J48-J50-J55-J56-J59-J60</f>
        <v>0</v>
      </c>
      <c r="K43" s="89">
        <f>SUM(K44:K76)-K48-K50-K55-K56-K59-K60</f>
        <v>70927689.120000005</v>
      </c>
      <c r="L43" s="89">
        <f t="shared" si="8"/>
        <v>37774894.009999998</v>
      </c>
      <c r="M43" s="89">
        <f t="shared" si="8"/>
        <v>33152795.109999999</v>
      </c>
      <c r="N43" s="89">
        <f t="shared" si="8"/>
        <v>653900</v>
      </c>
      <c r="O43" s="89">
        <f t="shared" si="8"/>
        <v>284800</v>
      </c>
      <c r="P43" s="89">
        <f t="shared" si="8"/>
        <v>37774894.009999998</v>
      </c>
      <c r="Q43" s="89">
        <f t="shared" si="1"/>
        <v>451686902.12</v>
      </c>
      <c r="R43" s="58"/>
      <c r="S43" s="58"/>
      <c r="T43" s="53"/>
    </row>
    <row r="44" spans="1:20" s="4" customFormat="1" ht="77.45" customHeight="1">
      <c r="A44" s="78" t="s">
        <v>114</v>
      </c>
      <c r="B44" s="78" t="s">
        <v>268</v>
      </c>
      <c r="C44" s="78" t="s">
        <v>53</v>
      </c>
      <c r="D44" s="33" t="s">
        <v>376</v>
      </c>
      <c r="E44" s="30" t="s">
        <v>2</v>
      </c>
      <c r="F44" s="89">
        <f t="shared" si="3"/>
        <v>4329700</v>
      </c>
      <c r="G44" s="89">
        <f>3910000+460000+20000-60300</f>
        <v>4329700</v>
      </c>
      <c r="H44" s="90">
        <f>3051200+380000</f>
        <v>3431200</v>
      </c>
      <c r="I44" s="90">
        <f>44100+20000-14300</f>
        <v>49800</v>
      </c>
      <c r="J44" s="90"/>
      <c r="K44" s="89">
        <f t="shared" ref="K44:K76" si="9">M44+P44</f>
        <v>0</v>
      </c>
      <c r="L44" s="89"/>
      <c r="M44" s="90"/>
      <c r="N44" s="89"/>
      <c r="O44" s="90"/>
      <c r="P44" s="90"/>
      <c r="Q44" s="89">
        <f t="shared" si="1"/>
        <v>4329700</v>
      </c>
      <c r="R44" s="57"/>
      <c r="S44" s="57"/>
      <c r="T44" s="56"/>
    </row>
    <row r="45" spans="1:20" s="4" customFormat="1" ht="58.5" customHeight="1">
      <c r="A45" s="78" t="s">
        <v>222</v>
      </c>
      <c r="B45" s="78" t="s">
        <v>225</v>
      </c>
      <c r="C45" s="78" t="s">
        <v>62</v>
      </c>
      <c r="D45" s="33" t="s">
        <v>109</v>
      </c>
      <c r="E45" s="30"/>
      <c r="F45" s="89">
        <f t="shared" si="3"/>
        <v>0</v>
      </c>
      <c r="G45" s="89">
        <f>90000-90000</f>
        <v>0</v>
      </c>
      <c r="H45" s="90"/>
      <c r="I45" s="90"/>
      <c r="J45" s="90"/>
      <c r="K45" s="89">
        <f t="shared" si="9"/>
        <v>0</v>
      </c>
      <c r="L45" s="89"/>
      <c r="M45" s="90"/>
      <c r="N45" s="89"/>
      <c r="O45" s="90"/>
      <c r="P45" s="90"/>
      <c r="Q45" s="89">
        <f t="shared" si="1"/>
        <v>0</v>
      </c>
      <c r="R45" s="57"/>
      <c r="S45" s="57"/>
      <c r="T45" s="56"/>
    </row>
    <row r="46" spans="1:20" s="4" customFormat="1" ht="69" customHeight="1">
      <c r="A46" s="78" t="s">
        <v>115</v>
      </c>
      <c r="B46" s="78" t="s">
        <v>71</v>
      </c>
      <c r="C46" s="78" t="s">
        <v>63</v>
      </c>
      <c r="D46" s="25" t="s">
        <v>116</v>
      </c>
      <c r="E46" s="30" t="s">
        <v>6</v>
      </c>
      <c r="F46" s="89">
        <f t="shared" si="3"/>
        <v>65572570</v>
      </c>
      <c r="G46" s="89">
        <f>72618500-230000-30000-40000-280000+2000000+90000-2348930+800000-100000-6907000</f>
        <v>65572570</v>
      </c>
      <c r="H46" s="90">
        <f>39558500-2000000-80000-3000000</f>
        <v>34478500</v>
      </c>
      <c r="I46" s="90">
        <f>14299000-230000-40000-280000+90000-2685000</f>
        <v>11154000</v>
      </c>
      <c r="J46" s="90"/>
      <c r="K46" s="89">
        <f t="shared" si="9"/>
        <v>10114300</v>
      </c>
      <c r="L46" s="89"/>
      <c r="M46" s="90">
        <v>10114300</v>
      </c>
      <c r="N46" s="89"/>
      <c r="O46" s="90"/>
      <c r="P46" s="90">
        <f>L46</f>
        <v>0</v>
      </c>
      <c r="Q46" s="89">
        <f t="shared" si="1"/>
        <v>75686870</v>
      </c>
      <c r="R46" s="57"/>
      <c r="S46" s="57"/>
      <c r="T46" s="56"/>
    </row>
    <row r="47" spans="1:20" s="4" customFormat="1" ht="59.25" customHeight="1">
      <c r="A47" s="78" t="s">
        <v>117</v>
      </c>
      <c r="B47" s="78" t="s">
        <v>72</v>
      </c>
      <c r="C47" s="78"/>
      <c r="D47" s="48" t="s">
        <v>414</v>
      </c>
      <c r="E47" s="30" t="s">
        <v>36</v>
      </c>
      <c r="F47" s="89">
        <f t="shared" si="3"/>
        <v>121383170</v>
      </c>
      <c r="G47" s="89">
        <f>G48</f>
        <v>121383170</v>
      </c>
      <c r="H47" s="89">
        <f t="shared" ref="H47:J47" si="10">H48</f>
        <v>51714500</v>
      </c>
      <c r="I47" s="89">
        <f t="shared" si="10"/>
        <v>27756687</v>
      </c>
      <c r="J47" s="89">
        <f t="shared" si="10"/>
        <v>0</v>
      </c>
      <c r="K47" s="89">
        <f>K48</f>
        <v>10306650</v>
      </c>
      <c r="L47" s="89">
        <f t="shared" ref="L47:P47" si="11">L48</f>
        <v>2304650</v>
      </c>
      <c r="M47" s="89">
        <f t="shared" si="11"/>
        <v>8002000</v>
      </c>
      <c r="N47" s="89">
        <f t="shared" si="11"/>
        <v>323300</v>
      </c>
      <c r="O47" s="89">
        <f t="shared" si="11"/>
        <v>284800</v>
      </c>
      <c r="P47" s="89">
        <f t="shared" si="11"/>
        <v>2304650</v>
      </c>
      <c r="Q47" s="89">
        <f>F47+K47</f>
        <v>131689820</v>
      </c>
      <c r="R47" s="57"/>
      <c r="S47" s="57"/>
      <c r="T47" s="56"/>
    </row>
    <row r="48" spans="1:20" s="4" customFormat="1" ht="75.75" customHeight="1">
      <c r="A48" s="84" t="s">
        <v>378</v>
      </c>
      <c r="B48" s="84" t="s">
        <v>377</v>
      </c>
      <c r="C48" s="84" t="s">
        <v>64</v>
      </c>
      <c r="D48" s="49" t="s">
        <v>425</v>
      </c>
      <c r="E48" s="30"/>
      <c r="F48" s="89">
        <f t="shared" si="3"/>
        <v>121383170</v>
      </c>
      <c r="G48" s="89">
        <f>110094220+2000000+17716930+36000+8000000+584600+2564443+20000+200000-40000+30000-70000-194000+194000-136000+136000-55000+55000+60000+199900-183000+180000+148700+300000-25000+8500-100000-99900-120000-1200000-110000-500000-3000000-980000-220000-35000+30000+20000-4000000-99900-880000-265790+205790+55000-286523-30000-8825800</f>
        <v>121383170</v>
      </c>
      <c r="H48" s="90">
        <f>51829500+6500000+480000-500000-900000-150000-220000-3200000-800000-25000-1300000</f>
        <v>51714500</v>
      </c>
      <c r="I48" s="90">
        <f>33582200-70000-194000-136000-55000-183000-25000-200000-120000+200000-265790-76000-270000+55000-286523+18000-48400-4168800</f>
        <v>27756687</v>
      </c>
      <c r="J48" s="90"/>
      <c r="K48" s="89">
        <f t="shared" si="9"/>
        <v>10306650</v>
      </c>
      <c r="L48" s="89">
        <f>5828650+40000+200000-2300000+1200000+110000+500000+980000+255000-300000-4209000</f>
        <v>2304650</v>
      </c>
      <c r="M48" s="90">
        <v>8002000</v>
      </c>
      <c r="N48" s="89">
        <v>323300</v>
      </c>
      <c r="O48" s="90">
        <v>284800</v>
      </c>
      <c r="P48" s="90">
        <f>L48</f>
        <v>2304650</v>
      </c>
      <c r="Q48" s="89">
        <f>F48+K48</f>
        <v>131689820</v>
      </c>
      <c r="R48" s="57"/>
      <c r="S48" s="57"/>
      <c r="T48" s="56"/>
    </row>
    <row r="49" spans="1:20" s="4" customFormat="1" ht="1.5" hidden="1" customHeight="1">
      <c r="A49" s="78" t="s">
        <v>379</v>
      </c>
      <c r="B49" s="78" t="s">
        <v>68</v>
      </c>
      <c r="C49" s="78"/>
      <c r="D49" s="48" t="s">
        <v>415</v>
      </c>
      <c r="E49" s="30" t="s">
        <v>7</v>
      </c>
      <c r="F49" s="89">
        <f t="shared" si="3"/>
        <v>129169800</v>
      </c>
      <c r="G49" s="89">
        <f>G50</f>
        <v>129169800</v>
      </c>
      <c r="H49" s="89">
        <f>H50</f>
        <v>105880000</v>
      </c>
      <c r="I49" s="90"/>
      <c r="J49" s="90"/>
      <c r="K49" s="89">
        <f t="shared" si="9"/>
        <v>0</v>
      </c>
      <c r="L49" s="89"/>
      <c r="M49" s="90"/>
      <c r="N49" s="89"/>
      <c r="O49" s="90"/>
      <c r="P49" s="90"/>
      <c r="Q49" s="89">
        <f t="shared" si="1"/>
        <v>129169800</v>
      </c>
      <c r="R49" s="57"/>
      <c r="S49" s="57"/>
      <c r="T49" s="56"/>
    </row>
    <row r="50" spans="1:20" s="4" customFormat="1" ht="75" customHeight="1">
      <c r="A50" s="78" t="s">
        <v>380</v>
      </c>
      <c r="B50" s="78" t="s">
        <v>381</v>
      </c>
      <c r="C50" s="78" t="s">
        <v>64</v>
      </c>
      <c r="D50" s="127" t="s">
        <v>426</v>
      </c>
      <c r="E50" s="30" t="s">
        <v>8</v>
      </c>
      <c r="F50" s="89">
        <f t="shared" si="3"/>
        <v>129169800</v>
      </c>
      <c r="G50" s="89">
        <f>86178100+42991700</f>
        <v>129169800</v>
      </c>
      <c r="H50" s="90">
        <f>70640000+35240000</f>
        <v>105880000</v>
      </c>
      <c r="I50" s="90"/>
      <c r="J50" s="90"/>
      <c r="K50" s="89">
        <f t="shared" si="9"/>
        <v>0</v>
      </c>
      <c r="L50" s="89"/>
      <c r="M50" s="90"/>
      <c r="N50" s="89"/>
      <c r="O50" s="90"/>
      <c r="P50" s="90"/>
      <c r="Q50" s="89">
        <f t="shared" si="1"/>
        <v>129169800</v>
      </c>
      <c r="R50" s="57"/>
      <c r="S50" s="57"/>
      <c r="T50" s="56"/>
    </row>
    <row r="51" spans="1:20" s="4" customFormat="1" ht="70.349999999999994" customHeight="1">
      <c r="A51" s="78" t="s">
        <v>382</v>
      </c>
      <c r="B51" s="78" t="s">
        <v>69</v>
      </c>
      <c r="C51" s="81" t="s">
        <v>65</v>
      </c>
      <c r="D51" s="47" t="s">
        <v>383</v>
      </c>
      <c r="E51" s="39" t="s">
        <v>39</v>
      </c>
      <c r="F51" s="89">
        <f t="shared" si="3"/>
        <v>11844400</v>
      </c>
      <c r="G51" s="89">
        <f>12426500+500000+230000-1312100</f>
        <v>11844400</v>
      </c>
      <c r="H51" s="90">
        <f>8833700-400000</f>
        <v>8433700</v>
      </c>
      <c r="I51" s="90">
        <f>799700+500000+230000-489000</f>
        <v>1040700</v>
      </c>
      <c r="J51" s="90"/>
      <c r="K51" s="89">
        <f t="shared" si="9"/>
        <v>30000</v>
      </c>
      <c r="L51" s="89">
        <f>200000+30000-200000</f>
        <v>30000</v>
      </c>
      <c r="M51" s="90"/>
      <c r="N51" s="89"/>
      <c r="O51" s="90"/>
      <c r="P51" s="90">
        <f>L51</f>
        <v>30000</v>
      </c>
      <c r="Q51" s="89">
        <f t="shared" si="1"/>
        <v>11874400</v>
      </c>
      <c r="R51" s="57"/>
      <c r="S51" s="57"/>
      <c r="T51" s="56"/>
    </row>
    <row r="52" spans="1:20" s="4" customFormat="1" ht="50.45" customHeight="1">
      <c r="A52" s="78" t="s">
        <v>410</v>
      </c>
      <c r="B52" s="78" t="s">
        <v>386</v>
      </c>
      <c r="C52" s="81" t="s">
        <v>66</v>
      </c>
      <c r="D52" s="47" t="s">
        <v>183</v>
      </c>
      <c r="E52" s="39"/>
      <c r="F52" s="89">
        <f t="shared" si="3"/>
        <v>8624500</v>
      </c>
      <c r="G52" s="89">
        <f>9275500+180000+10000-900000+80000+100000-121000</f>
        <v>8624500</v>
      </c>
      <c r="H52" s="90">
        <f>6808700-700000</f>
        <v>6108700</v>
      </c>
      <c r="I52" s="90">
        <f>317200+10000-120000</f>
        <v>207200</v>
      </c>
      <c r="J52" s="90"/>
      <c r="K52" s="89">
        <f t="shared" si="9"/>
        <v>0</v>
      </c>
      <c r="L52" s="89">
        <f>300000-300000</f>
        <v>0</v>
      </c>
      <c r="M52" s="90"/>
      <c r="N52" s="89"/>
      <c r="O52" s="90"/>
      <c r="P52" s="90">
        <f>L52</f>
        <v>0</v>
      </c>
      <c r="Q52" s="89">
        <f>F52+K52</f>
        <v>8624500</v>
      </c>
      <c r="R52" s="57"/>
      <c r="S52" s="57"/>
      <c r="T52" s="56"/>
    </row>
    <row r="53" spans="1:20" s="4" customFormat="1" ht="41.45" customHeight="1">
      <c r="A53" s="78" t="s">
        <v>387</v>
      </c>
      <c r="B53" s="78" t="s">
        <v>388</v>
      </c>
      <c r="C53" s="81" t="s">
        <v>66</v>
      </c>
      <c r="D53" s="47" t="s">
        <v>217</v>
      </c>
      <c r="E53" s="39"/>
      <c r="F53" s="89">
        <f t="shared" si="3"/>
        <v>77150</v>
      </c>
      <c r="G53" s="89">
        <f>27150+50000</f>
        <v>77150</v>
      </c>
      <c r="H53" s="90"/>
      <c r="I53" s="90"/>
      <c r="J53" s="90"/>
      <c r="K53" s="89">
        <f t="shared" si="9"/>
        <v>0</v>
      </c>
      <c r="L53" s="89"/>
      <c r="M53" s="90"/>
      <c r="N53" s="89"/>
      <c r="O53" s="90"/>
      <c r="P53" s="90"/>
      <c r="Q53" s="89">
        <f t="shared" si="1"/>
        <v>77150</v>
      </c>
      <c r="R53" s="57"/>
      <c r="S53" s="57"/>
      <c r="T53" s="56"/>
    </row>
    <row r="54" spans="1:20" s="4" customFormat="1" ht="50.45" customHeight="1">
      <c r="A54" s="78" t="s">
        <v>118</v>
      </c>
      <c r="B54" s="78" t="s">
        <v>286</v>
      </c>
      <c r="C54" s="81"/>
      <c r="D54" s="47" t="s">
        <v>389</v>
      </c>
      <c r="E54" s="39"/>
      <c r="F54" s="89">
        <f>F55+F56</f>
        <v>2460000</v>
      </c>
      <c r="G54" s="89">
        <f t="shared" ref="G54:M54" si="12">G55+G56</f>
        <v>2460000</v>
      </c>
      <c r="H54" s="89">
        <f t="shared" si="12"/>
        <v>1719500</v>
      </c>
      <c r="I54" s="89">
        <f t="shared" si="12"/>
        <v>152600</v>
      </c>
      <c r="J54" s="89">
        <f t="shared" si="12"/>
        <v>0</v>
      </c>
      <c r="K54" s="89">
        <f t="shared" si="12"/>
        <v>0</v>
      </c>
      <c r="L54" s="89">
        <f t="shared" si="12"/>
        <v>0</v>
      </c>
      <c r="M54" s="89">
        <f t="shared" si="12"/>
        <v>0</v>
      </c>
      <c r="N54" s="89">
        <f t="shared" ref="N54" si="13">N55+N56</f>
        <v>0</v>
      </c>
      <c r="O54" s="89">
        <f t="shared" ref="O54" si="14">O55+O56</f>
        <v>0</v>
      </c>
      <c r="P54" s="89">
        <f t="shared" ref="P54" si="15">P55+P56</f>
        <v>0</v>
      </c>
      <c r="Q54" s="89">
        <f t="shared" si="1"/>
        <v>2460000</v>
      </c>
      <c r="R54" s="57"/>
      <c r="S54" s="57"/>
      <c r="T54" s="56"/>
    </row>
    <row r="55" spans="1:20" s="4" customFormat="1" ht="70.5" customHeight="1">
      <c r="A55" s="78" t="s">
        <v>390</v>
      </c>
      <c r="B55" s="78" t="s">
        <v>392</v>
      </c>
      <c r="C55" s="81" t="s">
        <v>66</v>
      </c>
      <c r="D55" s="127" t="s">
        <v>394</v>
      </c>
      <c r="E55" s="30"/>
      <c r="F55" s="89">
        <f t="shared" si="3"/>
        <v>467500</v>
      </c>
      <c r="G55" s="89">
        <f>762700-130000-165200</f>
        <v>467500</v>
      </c>
      <c r="H55" s="90">
        <f>186300-100000</f>
        <v>86300</v>
      </c>
      <c r="I55" s="90">
        <f>196800-44200</f>
        <v>152600</v>
      </c>
      <c r="J55" s="90"/>
      <c r="K55" s="89">
        <f t="shared" si="9"/>
        <v>0</v>
      </c>
      <c r="L55" s="89"/>
      <c r="M55" s="90"/>
      <c r="N55" s="89"/>
      <c r="O55" s="90"/>
      <c r="P55" s="90"/>
      <c r="Q55" s="89">
        <f t="shared" si="1"/>
        <v>467500</v>
      </c>
      <c r="R55" s="57"/>
      <c r="S55" s="57"/>
      <c r="T55" s="56"/>
    </row>
    <row r="56" spans="1:20" s="4" customFormat="1" ht="78" customHeight="1">
      <c r="A56" s="78" t="s">
        <v>391</v>
      </c>
      <c r="B56" s="78" t="s">
        <v>393</v>
      </c>
      <c r="C56" s="81" t="s">
        <v>66</v>
      </c>
      <c r="D56" s="127" t="s">
        <v>395</v>
      </c>
      <c r="E56" s="30"/>
      <c r="F56" s="89">
        <f t="shared" si="3"/>
        <v>1992500</v>
      </c>
      <c r="G56" s="89">
        <f>1386500+606000</f>
        <v>1992500</v>
      </c>
      <c r="H56" s="90">
        <f>1136500+496700</f>
        <v>1633200</v>
      </c>
      <c r="I56" s="90"/>
      <c r="J56" s="90"/>
      <c r="K56" s="89">
        <f t="shared" si="9"/>
        <v>0</v>
      </c>
      <c r="L56" s="89"/>
      <c r="M56" s="90"/>
      <c r="N56" s="89"/>
      <c r="O56" s="90"/>
      <c r="P56" s="90"/>
      <c r="Q56" s="89">
        <f t="shared" si="1"/>
        <v>1992500</v>
      </c>
      <c r="R56" s="57"/>
      <c r="S56" s="57"/>
      <c r="T56" s="56"/>
    </row>
    <row r="57" spans="1:20" s="4" customFormat="1" ht="110.25" customHeight="1">
      <c r="A57" s="78" t="s">
        <v>396</v>
      </c>
      <c r="B57" s="78" t="s">
        <v>397</v>
      </c>
      <c r="C57" s="78" t="s">
        <v>66</v>
      </c>
      <c r="D57" s="25" t="s">
        <v>398</v>
      </c>
      <c r="E57" s="30"/>
      <c r="F57" s="89">
        <f t="shared" si="3"/>
        <v>1868300</v>
      </c>
      <c r="G57" s="89">
        <f>2490300-300000-322000</f>
        <v>1868300</v>
      </c>
      <c r="H57" s="90">
        <f>1701900-250000-180000</f>
        <v>1271900</v>
      </c>
      <c r="I57" s="90">
        <f>224100-118000</f>
        <v>106100</v>
      </c>
      <c r="J57" s="90"/>
      <c r="K57" s="89">
        <f t="shared" si="9"/>
        <v>0</v>
      </c>
      <c r="L57" s="89"/>
      <c r="M57" s="90"/>
      <c r="N57" s="89"/>
      <c r="O57" s="90"/>
      <c r="P57" s="90">
        <f t="shared" ref="P57:P60" si="16">L57</f>
        <v>0</v>
      </c>
      <c r="Q57" s="89">
        <f t="shared" si="1"/>
        <v>1868300</v>
      </c>
      <c r="R57" s="57"/>
      <c r="S57" s="57"/>
      <c r="T57" s="56"/>
    </row>
    <row r="58" spans="1:20" s="4" customFormat="1" ht="113.25" customHeight="1">
      <c r="A58" s="78" t="s">
        <v>399</v>
      </c>
      <c r="B58" s="78" t="s">
        <v>400</v>
      </c>
      <c r="C58" s="78"/>
      <c r="D58" s="50" t="s">
        <v>401</v>
      </c>
      <c r="E58" s="30"/>
      <c r="F58" s="89">
        <f>G58+J58</f>
        <v>1686800.9999999998</v>
      </c>
      <c r="G58" s="89">
        <f t="shared" ref="G58:J58" si="17">G59+G60</f>
        <v>1686800.9999999998</v>
      </c>
      <c r="H58" s="89">
        <f t="shared" si="17"/>
        <v>0</v>
      </c>
      <c r="I58" s="89">
        <f t="shared" si="17"/>
        <v>0</v>
      </c>
      <c r="J58" s="89">
        <f t="shared" si="17"/>
        <v>0</v>
      </c>
      <c r="K58" s="89">
        <f>M58+P58</f>
        <v>2315824</v>
      </c>
      <c r="L58" s="89">
        <f>L59+L60</f>
        <v>2315824</v>
      </c>
      <c r="M58" s="89">
        <f t="shared" ref="M58:O58" si="18">M59+M60</f>
        <v>0</v>
      </c>
      <c r="N58" s="89">
        <f t="shared" si="18"/>
        <v>0</v>
      </c>
      <c r="O58" s="89">
        <f t="shared" si="18"/>
        <v>0</v>
      </c>
      <c r="P58" s="90">
        <f t="shared" si="16"/>
        <v>2315824</v>
      </c>
      <c r="Q58" s="89">
        <f t="shared" si="1"/>
        <v>4002625</v>
      </c>
      <c r="R58" s="57"/>
      <c r="S58" s="57"/>
      <c r="T58" s="56"/>
    </row>
    <row r="59" spans="1:20" s="4" customFormat="1" ht="166.5" customHeight="1">
      <c r="A59" s="78" t="s">
        <v>464</v>
      </c>
      <c r="B59" s="78" t="s">
        <v>465</v>
      </c>
      <c r="C59" s="78" t="s">
        <v>66</v>
      </c>
      <c r="D59" s="47" t="s">
        <v>468</v>
      </c>
      <c r="E59" s="30"/>
      <c r="F59" s="89">
        <f t="shared" ref="F59:F60" si="19">G59+J59</f>
        <v>337360.19999999995</v>
      </c>
      <c r="G59" s="89">
        <f>239204.4+131512.8+16000-49357</f>
        <v>337360.19999999995</v>
      </c>
      <c r="H59" s="90"/>
      <c r="I59" s="90"/>
      <c r="J59" s="90"/>
      <c r="K59" s="89">
        <f t="shared" si="9"/>
        <v>463164.8</v>
      </c>
      <c r="L59" s="89">
        <f>561320.6-131512.8-16000+49357</f>
        <v>463164.8</v>
      </c>
      <c r="M59" s="90"/>
      <c r="N59" s="89"/>
      <c r="O59" s="90"/>
      <c r="P59" s="90">
        <f t="shared" si="16"/>
        <v>463164.8</v>
      </c>
      <c r="Q59" s="89">
        <f t="shared" si="1"/>
        <v>800525</v>
      </c>
      <c r="R59" s="57"/>
      <c r="S59" s="57"/>
      <c r="T59" s="56"/>
    </row>
    <row r="60" spans="1:20" s="4" customFormat="1" ht="162.75" customHeight="1">
      <c r="A60" s="78" t="s">
        <v>466</v>
      </c>
      <c r="B60" s="78" t="s">
        <v>467</v>
      </c>
      <c r="C60" s="78" t="s">
        <v>66</v>
      </c>
      <c r="D60" s="47" t="s">
        <v>469</v>
      </c>
      <c r="E60" s="30"/>
      <c r="F60" s="89">
        <f t="shared" si="19"/>
        <v>1349440.7999999998</v>
      </c>
      <c r="G60" s="89">
        <f>673264+283553.6+526051.2+64000-197428</f>
        <v>1349440.7999999998</v>
      </c>
      <c r="H60" s="90"/>
      <c r="I60" s="90"/>
      <c r="J60" s="90"/>
      <c r="K60" s="89">
        <f t="shared" si="9"/>
        <v>1852659.2</v>
      </c>
      <c r="L60" s="89">
        <f>3202100-673264-283553.6-526051.2-64000+197428</f>
        <v>1852659.2</v>
      </c>
      <c r="M60" s="90"/>
      <c r="N60" s="89"/>
      <c r="O60" s="90"/>
      <c r="P60" s="90">
        <f t="shared" si="16"/>
        <v>1852659.2</v>
      </c>
      <c r="Q60" s="89">
        <f t="shared" si="1"/>
        <v>3202100</v>
      </c>
      <c r="R60" s="57"/>
      <c r="S60" s="57"/>
      <c r="T60" s="56"/>
    </row>
    <row r="61" spans="1:20" s="4" customFormat="1" ht="184.5" customHeight="1">
      <c r="A61" s="78" t="s">
        <v>403</v>
      </c>
      <c r="B61" s="78" t="s">
        <v>402</v>
      </c>
      <c r="C61" s="78" t="s">
        <v>66</v>
      </c>
      <c r="D61" s="47" t="s">
        <v>463</v>
      </c>
      <c r="E61" s="30"/>
      <c r="F61" s="89">
        <f t="shared" si="3"/>
        <v>328600</v>
      </c>
      <c r="G61" s="89">
        <v>328600</v>
      </c>
      <c r="H61" s="90">
        <v>269350</v>
      </c>
      <c r="I61" s="90"/>
      <c r="J61" s="90"/>
      <c r="K61" s="89">
        <f t="shared" si="9"/>
        <v>0</v>
      </c>
      <c r="L61" s="89"/>
      <c r="M61" s="90"/>
      <c r="N61" s="89"/>
      <c r="O61" s="90"/>
      <c r="P61" s="90"/>
      <c r="Q61" s="89">
        <f t="shared" si="1"/>
        <v>328600</v>
      </c>
      <c r="R61" s="57"/>
      <c r="S61" s="57"/>
      <c r="T61" s="56"/>
    </row>
    <row r="62" spans="1:20" s="4" customFormat="1" ht="241.5" customHeight="1">
      <c r="A62" s="78" t="s">
        <v>511</v>
      </c>
      <c r="B62" s="78" t="s">
        <v>512</v>
      </c>
      <c r="C62" s="78" t="s">
        <v>66</v>
      </c>
      <c r="D62" s="130" t="s">
        <v>513</v>
      </c>
      <c r="E62" s="30"/>
      <c r="F62" s="89">
        <f t="shared" si="3"/>
        <v>900962</v>
      </c>
      <c r="G62" s="89">
        <v>900962</v>
      </c>
      <c r="H62" s="90"/>
      <c r="I62" s="90"/>
      <c r="J62" s="90"/>
      <c r="K62" s="89">
        <f t="shared" si="9"/>
        <v>1237564</v>
      </c>
      <c r="L62" s="89">
        <v>1237564</v>
      </c>
      <c r="M62" s="90"/>
      <c r="N62" s="89"/>
      <c r="O62" s="90"/>
      <c r="P62" s="90">
        <f>L62</f>
        <v>1237564</v>
      </c>
      <c r="Q62" s="89">
        <f t="shared" si="1"/>
        <v>2138526</v>
      </c>
      <c r="R62" s="57"/>
      <c r="S62" s="57"/>
      <c r="T62" s="56"/>
    </row>
    <row r="63" spans="1:20" s="4" customFormat="1" ht="233.25" customHeight="1">
      <c r="A63" s="78" t="s">
        <v>514</v>
      </c>
      <c r="B63" s="78" t="s">
        <v>515</v>
      </c>
      <c r="C63" s="78" t="s">
        <v>66</v>
      </c>
      <c r="D63" s="47" t="s">
        <v>516</v>
      </c>
      <c r="E63" s="30"/>
      <c r="F63" s="89">
        <f t="shared" si="3"/>
        <v>900962</v>
      </c>
      <c r="G63" s="89">
        <v>900962</v>
      </c>
      <c r="H63" s="90"/>
      <c r="I63" s="90"/>
      <c r="J63" s="90"/>
      <c r="K63" s="89">
        <f t="shared" si="9"/>
        <v>1237564</v>
      </c>
      <c r="L63" s="89">
        <v>1237564</v>
      </c>
      <c r="M63" s="90"/>
      <c r="N63" s="89"/>
      <c r="O63" s="90"/>
      <c r="P63" s="90">
        <f t="shared" ref="P63:P69" si="20">L63</f>
        <v>1237564</v>
      </c>
      <c r="Q63" s="89">
        <f t="shared" si="1"/>
        <v>2138526</v>
      </c>
      <c r="R63" s="57"/>
      <c r="S63" s="57"/>
      <c r="T63" s="56"/>
    </row>
    <row r="64" spans="1:20" s="4" customFormat="1" ht="235.5" customHeight="1">
      <c r="A64" s="78" t="s">
        <v>502</v>
      </c>
      <c r="B64" s="78" t="s">
        <v>503</v>
      </c>
      <c r="C64" s="78" t="s">
        <v>66</v>
      </c>
      <c r="D64" s="47" t="s">
        <v>504</v>
      </c>
      <c r="E64" s="30"/>
      <c r="F64" s="89">
        <f t="shared" si="3"/>
        <v>0</v>
      </c>
      <c r="G64" s="89"/>
      <c r="H64" s="90"/>
      <c r="I64" s="90"/>
      <c r="J64" s="90"/>
      <c r="K64" s="89">
        <f t="shared" si="9"/>
        <v>6197461</v>
      </c>
      <c r="L64" s="89">
        <f>5910938+286523</f>
        <v>6197461</v>
      </c>
      <c r="M64" s="90"/>
      <c r="N64" s="89"/>
      <c r="O64" s="90"/>
      <c r="P64" s="90">
        <f t="shared" si="20"/>
        <v>6197461</v>
      </c>
      <c r="Q64" s="89">
        <f t="shared" si="1"/>
        <v>6197461</v>
      </c>
      <c r="R64" s="57"/>
      <c r="S64" s="57"/>
      <c r="T64" s="56"/>
    </row>
    <row r="65" spans="1:20" s="4" customFormat="1" ht="227.25" customHeight="1">
      <c r="A65" s="78" t="s">
        <v>492</v>
      </c>
      <c r="B65" s="78" t="s">
        <v>493</v>
      </c>
      <c r="C65" s="78" t="s">
        <v>66</v>
      </c>
      <c r="D65" s="47" t="s">
        <v>494</v>
      </c>
      <c r="E65" s="30"/>
      <c r="F65" s="89">
        <f t="shared" si="3"/>
        <v>0</v>
      </c>
      <c r="G65" s="89"/>
      <c r="H65" s="90"/>
      <c r="I65" s="90"/>
      <c r="J65" s="90"/>
      <c r="K65" s="89">
        <f t="shared" si="9"/>
        <v>23525108</v>
      </c>
      <c r="L65" s="89">
        <v>23525108</v>
      </c>
      <c r="M65" s="90"/>
      <c r="N65" s="89"/>
      <c r="O65" s="90"/>
      <c r="P65" s="90">
        <f t="shared" si="20"/>
        <v>23525108</v>
      </c>
      <c r="Q65" s="89">
        <f t="shared" si="1"/>
        <v>23525108</v>
      </c>
      <c r="R65" s="57"/>
      <c r="S65" s="57"/>
      <c r="T65" s="56"/>
    </row>
    <row r="66" spans="1:20" s="4" customFormat="1" ht="147" customHeight="1">
      <c r="A66" s="78" t="s">
        <v>523</v>
      </c>
      <c r="B66" s="78" t="s">
        <v>524</v>
      </c>
      <c r="C66" s="78" t="s">
        <v>66</v>
      </c>
      <c r="D66" s="47" t="s">
        <v>525</v>
      </c>
      <c r="E66" s="30"/>
      <c r="F66" s="89">
        <f t="shared" si="3"/>
        <v>0</v>
      </c>
      <c r="G66" s="89"/>
      <c r="H66" s="90"/>
      <c r="I66" s="90"/>
      <c r="J66" s="90"/>
      <c r="K66" s="89">
        <f t="shared" si="9"/>
        <v>5640400</v>
      </c>
      <c r="L66" s="89"/>
      <c r="M66" s="90">
        <v>5640400</v>
      </c>
      <c r="N66" s="89"/>
      <c r="O66" s="90"/>
      <c r="P66" s="90"/>
      <c r="Q66" s="89">
        <f t="shared" si="1"/>
        <v>5640400</v>
      </c>
      <c r="R66" s="57"/>
      <c r="S66" s="57"/>
      <c r="T66" s="56"/>
    </row>
    <row r="67" spans="1:20" s="4" customFormat="1" ht="196.5" customHeight="1">
      <c r="A67" s="78" t="s">
        <v>484</v>
      </c>
      <c r="B67" s="78" t="s">
        <v>485</v>
      </c>
      <c r="C67" s="78" t="s">
        <v>66</v>
      </c>
      <c r="D67" s="47" t="s">
        <v>506</v>
      </c>
      <c r="E67" s="30"/>
      <c r="F67" s="89">
        <f t="shared" si="3"/>
        <v>1798</v>
      </c>
      <c r="G67" s="89">
        <v>1798</v>
      </c>
      <c r="H67" s="90"/>
      <c r="I67" s="90"/>
      <c r="J67" s="90"/>
      <c r="K67" s="89">
        <f t="shared" si="9"/>
        <v>10971</v>
      </c>
      <c r="L67" s="89">
        <v>10971</v>
      </c>
      <c r="M67" s="90"/>
      <c r="N67" s="89"/>
      <c r="O67" s="90"/>
      <c r="P67" s="90">
        <f t="shared" si="20"/>
        <v>10971</v>
      </c>
      <c r="Q67" s="89">
        <f t="shared" si="1"/>
        <v>12769</v>
      </c>
      <c r="R67" s="57"/>
      <c r="S67" s="57"/>
      <c r="T67" s="56"/>
    </row>
    <row r="68" spans="1:20" s="4" customFormat="1" ht="177.75" customHeight="1">
      <c r="A68" s="78" t="s">
        <v>473</v>
      </c>
      <c r="B68" s="78" t="s">
        <v>474</v>
      </c>
      <c r="C68" s="78" t="s">
        <v>66</v>
      </c>
      <c r="D68" s="47" t="s">
        <v>475</v>
      </c>
      <c r="E68" s="30"/>
      <c r="F68" s="89">
        <f t="shared" si="3"/>
        <v>0</v>
      </c>
      <c r="G68" s="89"/>
      <c r="H68" s="90"/>
      <c r="I68" s="90"/>
      <c r="J68" s="90"/>
      <c r="K68" s="89">
        <f t="shared" si="9"/>
        <v>29794.12</v>
      </c>
      <c r="L68" s="89">
        <v>25599.01</v>
      </c>
      <c r="M68" s="90">
        <v>4195.1099999999997</v>
      </c>
      <c r="N68" s="89"/>
      <c r="O68" s="90"/>
      <c r="P68" s="90">
        <f t="shared" si="20"/>
        <v>25599.01</v>
      </c>
      <c r="Q68" s="89">
        <f t="shared" si="1"/>
        <v>29794.12</v>
      </c>
      <c r="R68" s="57"/>
      <c r="S68" s="57"/>
      <c r="T68" s="56"/>
    </row>
    <row r="69" spans="1:20" s="4" customFormat="1" ht="52.5" customHeight="1">
      <c r="A69" s="78" t="s">
        <v>440</v>
      </c>
      <c r="B69" s="78" t="s">
        <v>441</v>
      </c>
      <c r="C69" s="78" t="s">
        <v>66</v>
      </c>
      <c r="D69" s="25" t="s">
        <v>537</v>
      </c>
      <c r="E69" s="30"/>
      <c r="F69" s="89">
        <f t="shared" ref="F69:F132" si="21">G69+J69</f>
        <v>0</v>
      </c>
      <c r="G69" s="89"/>
      <c r="H69" s="90"/>
      <c r="I69" s="90"/>
      <c r="J69" s="90"/>
      <c r="K69" s="89">
        <f>M69+P69</f>
        <v>57800</v>
      </c>
      <c r="L69" s="89">
        <f>98000-40200</f>
        <v>57800</v>
      </c>
      <c r="M69" s="90"/>
      <c r="N69" s="89"/>
      <c r="O69" s="90"/>
      <c r="P69" s="90">
        <f t="shared" si="20"/>
        <v>57800</v>
      </c>
      <c r="Q69" s="89">
        <f>F69+K69</f>
        <v>57800</v>
      </c>
      <c r="R69" s="57"/>
      <c r="S69" s="57"/>
      <c r="T69" s="56"/>
    </row>
    <row r="70" spans="1:20" s="4" customFormat="1" ht="125.25" customHeight="1">
      <c r="A70" s="78" t="s">
        <v>470</v>
      </c>
      <c r="B70" s="78" t="s">
        <v>471</v>
      </c>
      <c r="C70" s="78" t="s">
        <v>66</v>
      </c>
      <c r="D70" s="25" t="s">
        <v>472</v>
      </c>
      <c r="E70" s="30"/>
      <c r="F70" s="89">
        <f t="shared" si="21"/>
        <v>0</v>
      </c>
      <c r="G70" s="89"/>
      <c r="H70" s="90"/>
      <c r="I70" s="90"/>
      <c r="J70" s="90"/>
      <c r="K70" s="89">
        <f>M70+P70</f>
        <v>5983700</v>
      </c>
      <c r="L70" s="89"/>
      <c r="M70" s="90">
        <v>5983700</v>
      </c>
      <c r="N70" s="89"/>
      <c r="O70" s="90"/>
      <c r="P70" s="90"/>
      <c r="Q70" s="89">
        <f>F70+K70</f>
        <v>5983700</v>
      </c>
      <c r="R70" s="57"/>
      <c r="S70" s="57"/>
      <c r="T70" s="56"/>
    </row>
    <row r="71" spans="1:20" s="4" customFormat="1" ht="165" customHeight="1">
      <c r="A71" s="78" t="s">
        <v>526</v>
      </c>
      <c r="B71" s="78" t="s">
        <v>527</v>
      </c>
      <c r="C71" s="78" t="s">
        <v>66</v>
      </c>
      <c r="D71" s="133" t="s">
        <v>528</v>
      </c>
      <c r="E71" s="30"/>
      <c r="F71" s="89">
        <f t="shared" si="21"/>
        <v>0</v>
      </c>
      <c r="G71" s="89"/>
      <c r="H71" s="93"/>
      <c r="I71" s="93"/>
      <c r="J71" s="93"/>
      <c r="K71" s="89">
        <f>M71+P71</f>
        <v>403000</v>
      </c>
      <c r="L71" s="92"/>
      <c r="M71" s="93">
        <f>178800+224200</f>
        <v>403000</v>
      </c>
      <c r="N71" s="92">
        <f>146600+184000</f>
        <v>330600</v>
      </c>
      <c r="O71" s="93"/>
      <c r="P71" s="93"/>
      <c r="Q71" s="89">
        <f>F71+K71</f>
        <v>403000</v>
      </c>
      <c r="R71" s="57"/>
      <c r="S71" s="57"/>
      <c r="T71" s="56"/>
    </row>
    <row r="72" spans="1:20" s="4" customFormat="1" ht="131.25" customHeight="1">
      <c r="A72" s="78" t="s">
        <v>458</v>
      </c>
      <c r="B72" s="78" t="s">
        <v>459</v>
      </c>
      <c r="C72" s="78" t="s">
        <v>66</v>
      </c>
      <c r="D72" s="25" t="s">
        <v>460</v>
      </c>
      <c r="E72" s="30"/>
      <c r="F72" s="89">
        <f t="shared" si="21"/>
        <v>15898400</v>
      </c>
      <c r="G72" s="89">
        <f>6410200+496300+8991900</f>
        <v>15898400</v>
      </c>
      <c r="H72" s="93">
        <f>5254200+409500+7416000</f>
        <v>13079700</v>
      </c>
      <c r="I72" s="93"/>
      <c r="J72" s="93"/>
      <c r="K72" s="89">
        <f t="shared" ref="K72:K74" si="22">M72+P72</f>
        <v>0</v>
      </c>
      <c r="L72" s="92"/>
      <c r="M72" s="93"/>
      <c r="N72" s="92"/>
      <c r="O72" s="93"/>
      <c r="P72" s="93"/>
      <c r="Q72" s="89">
        <f t="shared" ref="Q72:Q74" si="23">F72+K72</f>
        <v>15898400</v>
      </c>
      <c r="R72" s="57"/>
      <c r="S72" s="57"/>
      <c r="T72" s="56"/>
    </row>
    <row r="73" spans="1:20" s="4" customFormat="1" ht="142.5" customHeight="1">
      <c r="A73" s="78" t="s">
        <v>461</v>
      </c>
      <c r="B73" s="78" t="s">
        <v>462</v>
      </c>
      <c r="C73" s="78" t="s">
        <v>66</v>
      </c>
      <c r="D73" s="25" t="s">
        <v>536</v>
      </c>
      <c r="E73" s="30"/>
      <c r="F73" s="89">
        <f t="shared" si="21"/>
        <v>0</v>
      </c>
      <c r="G73" s="89"/>
      <c r="H73" s="93"/>
      <c r="I73" s="93"/>
      <c r="J73" s="93"/>
      <c r="K73" s="89">
        <f t="shared" si="22"/>
        <v>3005200</v>
      </c>
      <c r="L73" s="92"/>
      <c r="M73" s="93">
        <f>525700+525700+12600+1072200+869000</f>
        <v>3005200</v>
      </c>
      <c r="N73" s="92"/>
      <c r="O73" s="93"/>
      <c r="P73" s="93"/>
      <c r="Q73" s="89">
        <f t="shared" si="23"/>
        <v>3005200</v>
      </c>
      <c r="R73" s="57"/>
      <c r="S73" s="57"/>
      <c r="T73" s="56"/>
    </row>
    <row r="74" spans="1:20" s="4" customFormat="1" ht="71.25" customHeight="1">
      <c r="A74" s="78" t="s">
        <v>529</v>
      </c>
      <c r="B74" s="78" t="s">
        <v>530</v>
      </c>
      <c r="C74" s="78" t="s">
        <v>66</v>
      </c>
      <c r="D74" s="25" t="s">
        <v>538</v>
      </c>
      <c r="E74" s="30"/>
      <c r="F74" s="89">
        <f t="shared" si="21"/>
        <v>14984500</v>
      </c>
      <c r="G74" s="89">
        <v>14984500</v>
      </c>
      <c r="H74" s="93"/>
      <c r="I74" s="93"/>
      <c r="J74" s="93"/>
      <c r="K74" s="89">
        <f t="shared" si="22"/>
        <v>0</v>
      </c>
      <c r="L74" s="92"/>
      <c r="M74" s="93"/>
      <c r="N74" s="92"/>
      <c r="O74" s="93"/>
      <c r="P74" s="93"/>
      <c r="Q74" s="89">
        <f t="shared" si="23"/>
        <v>14984500</v>
      </c>
      <c r="R74" s="57"/>
      <c r="S74" s="57"/>
      <c r="T74" s="56"/>
    </row>
    <row r="75" spans="1:20" s="4" customFormat="1" ht="55.35" customHeight="1">
      <c r="A75" s="78" t="s">
        <v>350</v>
      </c>
      <c r="B75" s="78" t="s">
        <v>343</v>
      </c>
      <c r="C75" s="78" t="s">
        <v>344</v>
      </c>
      <c r="D75" s="25" t="s">
        <v>345</v>
      </c>
      <c r="E75" s="30"/>
      <c r="F75" s="89">
        <f t="shared" si="21"/>
        <v>727600</v>
      </c>
      <c r="G75" s="89">
        <f>739600+70000+3000+25000+40000-150000</f>
        <v>727600</v>
      </c>
      <c r="H75" s="93"/>
      <c r="I75" s="93"/>
      <c r="J75" s="93"/>
      <c r="K75" s="89">
        <f t="shared" si="9"/>
        <v>520800</v>
      </c>
      <c r="L75" s="92">
        <f>40000+100000+100000+99900+99900+60000+30000-9000</f>
        <v>520800</v>
      </c>
      <c r="M75" s="92"/>
      <c r="N75" s="92"/>
      <c r="O75" s="93"/>
      <c r="P75" s="93">
        <f>L75</f>
        <v>520800</v>
      </c>
      <c r="Q75" s="89">
        <f>F75+K75</f>
        <v>1248400</v>
      </c>
      <c r="R75" s="57"/>
      <c r="S75" s="57"/>
      <c r="T75" s="56"/>
    </row>
    <row r="76" spans="1:20" s="4" customFormat="1" ht="42.75" customHeight="1">
      <c r="A76" s="85" t="s">
        <v>233</v>
      </c>
      <c r="B76" s="78" t="s">
        <v>282</v>
      </c>
      <c r="C76" s="85" t="s">
        <v>76</v>
      </c>
      <c r="D76" s="35" t="s">
        <v>110</v>
      </c>
      <c r="E76" s="39"/>
      <c r="F76" s="89">
        <f t="shared" si="21"/>
        <v>0</v>
      </c>
      <c r="G76" s="89"/>
      <c r="H76" s="90"/>
      <c r="I76" s="90"/>
      <c r="J76" s="90"/>
      <c r="K76" s="89">
        <f t="shared" si="9"/>
        <v>311553</v>
      </c>
      <c r="L76" s="89">
        <f>500000-188447</f>
        <v>311553</v>
      </c>
      <c r="M76" s="90"/>
      <c r="N76" s="89"/>
      <c r="O76" s="90"/>
      <c r="P76" s="90">
        <f>L76</f>
        <v>311553</v>
      </c>
      <c r="Q76" s="89">
        <f t="shared" si="1"/>
        <v>311553</v>
      </c>
      <c r="R76" s="57"/>
      <c r="S76" s="57"/>
      <c r="T76" s="56"/>
    </row>
    <row r="77" spans="1:20" s="4" customFormat="1" ht="51" hidden="1" customHeight="1">
      <c r="A77" s="78" t="s">
        <v>266</v>
      </c>
      <c r="B77" s="78" t="s">
        <v>285</v>
      </c>
      <c r="C77" s="78" t="s">
        <v>61</v>
      </c>
      <c r="D77" s="25" t="s">
        <v>215</v>
      </c>
      <c r="E77" s="2"/>
      <c r="F77" s="89">
        <f t="shared" si="21"/>
        <v>0</v>
      </c>
      <c r="G77" s="89"/>
      <c r="H77" s="90"/>
      <c r="I77" s="90"/>
      <c r="J77" s="90"/>
      <c r="K77" s="89">
        <f t="shared" ref="K77" si="24">M77+P77</f>
        <v>0</v>
      </c>
      <c r="L77" s="89"/>
      <c r="M77" s="90"/>
      <c r="N77" s="89"/>
      <c r="O77" s="90"/>
      <c r="P77" s="90"/>
      <c r="Q77" s="89">
        <f t="shared" si="1"/>
        <v>0</v>
      </c>
      <c r="R77" s="57"/>
      <c r="S77" s="57"/>
      <c r="T77" s="56"/>
    </row>
    <row r="78" spans="1:20" s="12" customFormat="1" ht="87" customHeight="1">
      <c r="A78" s="65" t="s">
        <v>125</v>
      </c>
      <c r="B78" s="65" t="s">
        <v>125</v>
      </c>
      <c r="C78" s="71"/>
      <c r="D78" s="70" t="s">
        <v>360</v>
      </c>
      <c r="E78" s="69" t="s">
        <v>29</v>
      </c>
      <c r="F78" s="111">
        <f t="shared" si="21"/>
        <v>69043968</v>
      </c>
      <c r="G78" s="68">
        <f t="shared" ref="G78:P78" si="25">G79</f>
        <v>69043968</v>
      </c>
      <c r="H78" s="68">
        <f t="shared" si="25"/>
        <v>37301512</v>
      </c>
      <c r="I78" s="68">
        <f t="shared" si="25"/>
        <v>1839000</v>
      </c>
      <c r="J78" s="68">
        <f t="shared" si="25"/>
        <v>0</v>
      </c>
      <c r="K78" s="68">
        <f t="shared" si="25"/>
        <v>11642762</v>
      </c>
      <c r="L78" s="68">
        <f t="shared" si="25"/>
        <v>11372762</v>
      </c>
      <c r="M78" s="68">
        <f t="shared" si="25"/>
        <v>270000</v>
      </c>
      <c r="N78" s="68">
        <f t="shared" si="25"/>
        <v>197000</v>
      </c>
      <c r="O78" s="68">
        <f t="shared" si="25"/>
        <v>0</v>
      </c>
      <c r="P78" s="68">
        <f t="shared" si="25"/>
        <v>11372762</v>
      </c>
      <c r="Q78" s="68">
        <f t="shared" si="1"/>
        <v>80686730</v>
      </c>
      <c r="R78" s="54"/>
      <c r="S78" s="58"/>
      <c r="T78" s="53"/>
    </row>
    <row r="79" spans="1:20" s="12" customFormat="1" ht="58.7" customHeight="1">
      <c r="A79" s="82" t="s">
        <v>126</v>
      </c>
      <c r="B79" s="82" t="s">
        <v>126</v>
      </c>
      <c r="C79" s="78"/>
      <c r="D79" s="31" t="str">
        <f>D78</f>
        <v>Управління  соціального захисту населення  міської ради</v>
      </c>
      <c r="E79" s="28"/>
      <c r="F79" s="89">
        <f>G79+J79</f>
        <v>69043968</v>
      </c>
      <c r="G79" s="89">
        <f>SUM(G80:G117)</f>
        <v>69043968</v>
      </c>
      <c r="H79" s="89">
        <f t="shared" ref="H79:J79" si="26">SUM(H80:H117)</f>
        <v>37301512</v>
      </c>
      <c r="I79" s="89">
        <f t="shared" si="26"/>
        <v>1839000</v>
      </c>
      <c r="J79" s="89">
        <f t="shared" si="26"/>
        <v>0</v>
      </c>
      <c r="K79" s="89">
        <f t="shared" ref="K79" si="27">SUM(K80:K114)</f>
        <v>11642762</v>
      </c>
      <c r="L79" s="89">
        <f>SUM(L80:L117)</f>
        <v>11372762</v>
      </c>
      <c r="M79" s="89">
        <f t="shared" ref="M79:P79" si="28">SUM(M80:M117)</f>
        <v>270000</v>
      </c>
      <c r="N79" s="89">
        <f t="shared" si="28"/>
        <v>197000</v>
      </c>
      <c r="O79" s="89">
        <f t="shared" si="28"/>
        <v>0</v>
      </c>
      <c r="P79" s="89">
        <f t="shared" si="28"/>
        <v>11372762</v>
      </c>
      <c r="Q79" s="89">
        <f t="shared" si="1"/>
        <v>80686730</v>
      </c>
      <c r="R79" s="58"/>
      <c r="S79" s="58"/>
      <c r="T79" s="53"/>
    </row>
    <row r="80" spans="1:20" s="4" customFormat="1" ht="82.15" customHeight="1">
      <c r="A80" s="78" t="s">
        <v>127</v>
      </c>
      <c r="B80" s="78" t="s">
        <v>268</v>
      </c>
      <c r="C80" s="78" t="s">
        <v>53</v>
      </c>
      <c r="D80" s="33" t="s">
        <v>375</v>
      </c>
      <c r="E80" s="30" t="s">
        <v>2</v>
      </c>
      <c r="F80" s="89">
        <f t="shared" si="21"/>
        <v>23706160</v>
      </c>
      <c r="G80" s="90">
        <f>20754000+6700000+2160-3750000</f>
        <v>23706160</v>
      </c>
      <c r="H80" s="90">
        <f>16358000+5500000-3000000</f>
        <v>18858000</v>
      </c>
      <c r="I80" s="90">
        <v>641000</v>
      </c>
      <c r="J80" s="90"/>
      <c r="K80" s="90">
        <f>M80+P80</f>
        <v>40000</v>
      </c>
      <c r="L80" s="90">
        <f>40000</f>
        <v>40000</v>
      </c>
      <c r="M80" s="90"/>
      <c r="N80" s="90"/>
      <c r="O80" s="90"/>
      <c r="P80" s="89">
        <f>L80</f>
        <v>40000</v>
      </c>
      <c r="Q80" s="90">
        <f>F80+K80</f>
        <v>23746160</v>
      </c>
      <c r="R80" s="57"/>
      <c r="S80" s="57"/>
      <c r="T80" s="56"/>
    </row>
    <row r="81" spans="1:20" s="4" customFormat="1" ht="49.9" customHeight="1">
      <c r="A81" s="78" t="s">
        <v>145</v>
      </c>
      <c r="B81" s="78" t="s">
        <v>225</v>
      </c>
      <c r="C81" s="78" t="s">
        <v>62</v>
      </c>
      <c r="D81" s="33" t="s">
        <v>109</v>
      </c>
      <c r="E81" s="30"/>
      <c r="F81" s="89">
        <f t="shared" si="21"/>
        <v>21224</v>
      </c>
      <c r="G81" s="90">
        <f>90000+4000+13626+10598-7000-90000</f>
        <v>21224</v>
      </c>
      <c r="H81" s="90"/>
      <c r="I81" s="90"/>
      <c r="J81" s="90"/>
      <c r="K81" s="89">
        <f t="shared" ref="K81:K89" si="29">M81+P81</f>
        <v>0</v>
      </c>
      <c r="L81" s="89"/>
      <c r="M81" s="90"/>
      <c r="N81" s="90"/>
      <c r="O81" s="90"/>
      <c r="P81" s="90"/>
      <c r="Q81" s="89">
        <f t="shared" si="1"/>
        <v>21224</v>
      </c>
      <c r="R81" s="57"/>
      <c r="S81" s="57"/>
      <c r="T81" s="56"/>
    </row>
    <row r="82" spans="1:20" s="12" customFormat="1" ht="53.45" hidden="1" customHeight="1">
      <c r="A82" s="71" t="s">
        <v>128</v>
      </c>
      <c r="B82" s="78" t="s">
        <v>288</v>
      </c>
      <c r="C82" s="78" t="s">
        <v>68</v>
      </c>
      <c r="D82" s="25" t="s">
        <v>129</v>
      </c>
      <c r="E82" s="30" t="s">
        <v>26</v>
      </c>
      <c r="F82" s="89">
        <f t="shared" si="21"/>
        <v>0</v>
      </c>
      <c r="G82" s="68"/>
      <c r="H82" s="89"/>
      <c r="I82" s="89"/>
      <c r="J82" s="89"/>
      <c r="K82" s="89">
        <f t="shared" si="29"/>
        <v>0</v>
      </c>
      <c r="L82" s="89"/>
      <c r="M82" s="89"/>
      <c r="N82" s="89"/>
      <c r="O82" s="89"/>
      <c r="P82" s="89"/>
      <c r="Q82" s="89">
        <f t="shared" si="1"/>
        <v>0</v>
      </c>
      <c r="R82" s="58"/>
      <c r="S82" s="58"/>
      <c r="T82" s="53"/>
    </row>
    <row r="83" spans="1:20" s="12" customFormat="1" ht="40.700000000000003" hidden="1" customHeight="1">
      <c r="A83" s="71" t="s">
        <v>132</v>
      </c>
      <c r="B83" s="78" t="s">
        <v>289</v>
      </c>
      <c r="C83" s="78" t="s">
        <v>70</v>
      </c>
      <c r="D83" s="25" t="s">
        <v>91</v>
      </c>
      <c r="E83" s="30" t="s">
        <v>20</v>
      </c>
      <c r="F83" s="89">
        <f t="shared" si="21"/>
        <v>0</v>
      </c>
      <c r="G83" s="68"/>
      <c r="H83" s="89"/>
      <c r="I83" s="89"/>
      <c r="J83" s="89"/>
      <c r="K83" s="89">
        <f t="shared" si="29"/>
        <v>0</v>
      </c>
      <c r="L83" s="89"/>
      <c r="M83" s="89"/>
      <c r="N83" s="89"/>
      <c r="O83" s="89"/>
      <c r="P83" s="89"/>
      <c r="Q83" s="89">
        <f>F83+K83</f>
        <v>0</v>
      </c>
      <c r="R83" s="58"/>
      <c r="S83" s="58"/>
      <c r="T83" s="53"/>
    </row>
    <row r="84" spans="1:20" s="12" customFormat="1" ht="64.5" hidden="1" customHeight="1">
      <c r="A84" s="71" t="s">
        <v>130</v>
      </c>
      <c r="B84" s="78" t="s">
        <v>290</v>
      </c>
      <c r="C84" s="78" t="s">
        <v>68</v>
      </c>
      <c r="D84" s="25" t="s">
        <v>131</v>
      </c>
      <c r="E84" s="40" t="s">
        <v>17</v>
      </c>
      <c r="F84" s="89">
        <f t="shared" si="21"/>
        <v>0</v>
      </c>
      <c r="G84" s="68"/>
      <c r="H84" s="89"/>
      <c r="I84" s="89"/>
      <c r="J84" s="89"/>
      <c r="K84" s="89">
        <f t="shared" si="29"/>
        <v>0</v>
      </c>
      <c r="L84" s="89"/>
      <c r="M84" s="89"/>
      <c r="N84" s="89"/>
      <c r="O84" s="89"/>
      <c r="P84" s="89"/>
      <c r="Q84" s="89">
        <f t="shared" ref="Q84" si="30">F84+K84</f>
        <v>0</v>
      </c>
      <c r="R84" s="58"/>
      <c r="S84" s="58"/>
      <c r="T84" s="53"/>
    </row>
    <row r="85" spans="1:20" s="12" customFormat="1" ht="57.2" hidden="1" customHeight="1">
      <c r="A85" s="71" t="s">
        <v>133</v>
      </c>
      <c r="B85" s="78" t="s">
        <v>291</v>
      </c>
      <c r="C85" s="78" t="s">
        <v>70</v>
      </c>
      <c r="D85" s="25" t="s">
        <v>92</v>
      </c>
      <c r="E85" s="30" t="s">
        <v>38</v>
      </c>
      <c r="F85" s="89">
        <f t="shared" si="21"/>
        <v>0</v>
      </c>
      <c r="G85" s="68"/>
      <c r="H85" s="89"/>
      <c r="I85" s="89"/>
      <c r="J85" s="89"/>
      <c r="K85" s="89">
        <f t="shared" si="29"/>
        <v>0</v>
      </c>
      <c r="L85" s="89"/>
      <c r="M85" s="89"/>
      <c r="N85" s="89"/>
      <c r="O85" s="89"/>
      <c r="P85" s="89"/>
      <c r="Q85" s="89">
        <f t="shared" ref="Q85:Q89" si="31">F85+K85</f>
        <v>0</v>
      </c>
      <c r="R85" s="58"/>
      <c r="S85" s="58"/>
      <c r="T85" s="53"/>
    </row>
    <row r="86" spans="1:20" s="12" customFormat="1" ht="33" hidden="1" customHeight="1">
      <c r="A86" s="78" t="s">
        <v>172</v>
      </c>
      <c r="B86" s="78" t="s">
        <v>292</v>
      </c>
      <c r="C86" s="78" t="s">
        <v>68</v>
      </c>
      <c r="D86" s="35" t="s">
        <v>177</v>
      </c>
      <c r="E86" s="30"/>
      <c r="F86" s="89">
        <f t="shared" si="21"/>
        <v>0</v>
      </c>
      <c r="G86" s="89"/>
      <c r="H86" s="89"/>
      <c r="I86" s="89"/>
      <c r="J86" s="89"/>
      <c r="K86" s="89">
        <f t="shared" si="29"/>
        <v>0</v>
      </c>
      <c r="L86" s="89"/>
      <c r="M86" s="89"/>
      <c r="N86" s="89"/>
      <c r="O86" s="89"/>
      <c r="P86" s="89"/>
      <c r="Q86" s="89">
        <f t="shared" si="31"/>
        <v>0</v>
      </c>
      <c r="R86" s="58"/>
      <c r="S86" s="58"/>
      <c r="T86" s="53"/>
    </row>
    <row r="87" spans="1:20" s="12" customFormat="1" ht="49.15" customHeight="1">
      <c r="A87" s="78" t="s">
        <v>173</v>
      </c>
      <c r="B87" s="78" t="s">
        <v>293</v>
      </c>
      <c r="C87" s="78" t="s">
        <v>69</v>
      </c>
      <c r="D87" s="35" t="s">
        <v>239</v>
      </c>
      <c r="E87" s="30"/>
      <c r="F87" s="89">
        <f t="shared" si="21"/>
        <v>47800</v>
      </c>
      <c r="G87" s="89">
        <f>66000-15000-3200</f>
        <v>47800</v>
      </c>
      <c r="H87" s="89"/>
      <c r="I87" s="89"/>
      <c r="J87" s="89"/>
      <c r="K87" s="89">
        <f t="shared" si="29"/>
        <v>0</v>
      </c>
      <c r="L87" s="89"/>
      <c r="M87" s="89"/>
      <c r="N87" s="89"/>
      <c r="O87" s="89"/>
      <c r="P87" s="89"/>
      <c r="Q87" s="89">
        <f t="shared" si="31"/>
        <v>47800</v>
      </c>
      <c r="R87" s="58"/>
      <c r="S87" s="58"/>
      <c r="T87" s="53"/>
    </row>
    <row r="88" spans="1:20" s="12" customFormat="1" ht="73.900000000000006" customHeight="1">
      <c r="A88" s="78" t="s">
        <v>174</v>
      </c>
      <c r="B88" s="78" t="s">
        <v>294</v>
      </c>
      <c r="C88" s="78" t="s">
        <v>69</v>
      </c>
      <c r="D88" s="35" t="s">
        <v>176</v>
      </c>
      <c r="E88" s="30"/>
      <c r="F88" s="89">
        <f t="shared" si="21"/>
        <v>5563500</v>
      </c>
      <c r="G88" s="89">
        <f>2000000+2800000+250000+550000-36500</f>
        <v>5563500</v>
      </c>
      <c r="H88" s="89"/>
      <c r="I88" s="89"/>
      <c r="J88" s="89"/>
      <c r="K88" s="89">
        <f t="shared" si="29"/>
        <v>0</v>
      </c>
      <c r="L88" s="89"/>
      <c r="M88" s="89"/>
      <c r="N88" s="89"/>
      <c r="O88" s="89"/>
      <c r="P88" s="89"/>
      <c r="Q88" s="89">
        <f t="shared" si="31"/>
        <v>5563500</v>
      </c>
      <c r="R88" s="58"/>
      <c r="S88" s="58"/>
      <c r="T88" s="53"/>
    </row>
    <row r="89" spans="1:20" s="12" customFormat="1" ht="84.2" customHeight="1">
      <c r="A89" s="78" t="s">
        <v>175</v>
      </c>
      <c r="B89" s="78" t="s">
        <v>295</v>
      </c>
      <c r="C89" s="78" t="s">
        <v>69</v>
      </c>
      <c r="D89" s="35" t="s">
        <v>404</v>
      </c>
      <c r="E89" s="30"/>
      <c r="F89" s="89">
        <f t="shared" si="21"/>
        <v>1000000</v>
      </c>
      <c r="G89" s="89">
        <f>625000+375000</f>
        <v>1000000</v>
      </c>
      <c r="H89" s="89"/>
      <c r="I89" s="89"/>
      <c r="J89" s="89"/>
      <c r="K89" s="89">
        <f t="shared" si="29"/>
        <v>0</v>
      </c>
      <c r="L89" s="89"/>
      <c r="M89" s="89"/>
      <c r="N89" s="89"/>
      <c r="O89" s="89"/>
      <c r="P89" s="89"/>
      <c r="Q89" s="89">
        <f t="shared" si="31"/>
        <v>1000000</v>
      </c>
      <c r="R89" s="58"/>
      <c r="S89" s="58"/>
      <c r="T89" s="53"/>
    </row>
    <row r="90" spans="1:20" s="12" customFormat="1" ht="40.700000000000003" hidden="1" customHeight="1">
      <c r="A90" s="82" t="s">
        <v>359</v>
      </c>
      <c r="B90" s="78"/>
      <c r="C90" s="83"/>
      <c r="D90" s="31" t="s">
        <v>33</v>
      </c>
      <c r="E90" s="30" t="s">
        <v>33</v>
      </c>
      <c r="F90" s="89">
        <f t="shared" si="21"/>
        <v>0</v>
      </c>
      <c r="G90" s="89"/>
      <c r="H90" s="89"/>
      <c r="I90" s="89"/>
      <c r="J90" s="89">
        <f t="shared" ref="J90:P90" si="32">J91+J92+J93+J94+J95+J96+J97</f>
        <v>0</v>
      </c>
      <c r="K90" s="89">
        <f t="shared" si="32"/>
        <v>0</v>
      </c>
      <c r="L90" s="89">
        <f t="shared" si="32"/>
        <v>0</v>
      </c>
      <c r="M90" s="89">
        <f t="shared" si="32"/>
        <v>0</v>
      </c>
      <c r="N90" s="89">
        <f t="shared" si="32"/>
        <v>0</v>
      </c>
      <c r="O90" s="89">
        <f t="shared" si="32"/>
        <v>0</v>
      </c>
      <c r="P90" s="89">
        <f t="shared" si="32"/>
        <v>0</v>
      </c>
      <c r="Q90" s="89">
        <f t="shared" ref="Q90:Q113" si="33">F90+K90</f>
        <v>0</v>
      </c>
      <c r="R90" s="58"/>
      <c r="S90" s="58"/>
      <c r="T90" s="53"/>
    </row>
    <row r="91" spans="1:20" s="12" customFormat="1" ht="40.700000000000003" hidden="1" customHeight="1">
      <c r="A91" s="78" t="s">
        <v>136</v>
      </c>
      <c r="B91" s="78" t="s">
        <v>296</v>
      </c>
      <c r="C91" s="78" t="s">
        <v>58</v>
      </c>
      <c r="D91" s="25" t="s">
        <v>84</v>
      </c>
      <c r="E91" s="30" t="s">
        <v>37</v>
      </c>
      <c r="F91" s="89">
        <f t="shared" si="21"/>
        <v>0</v>
      </c>
      <c r="G91" s="89"/>
      <c r="H91" s="89"/>
      <c r="I91" s="89"/>
      <c r="J91" s="89"/>
      <c r="K91" s="89">
        <f t="shared" ref="K91:K117" si="34">M91+P91</f>
        <v>0</v>
      </c>
      <c r="L91" s="89"/>
      <c r="M91" s="89"/>
      <c r="N91" s="89"/>
      <c r="O91" s="89"/>
      <c r="P91" s="89"/>
      <c r="Q91" s="89">
        <f t="shared" si="33"/>
        <v>0</v>
      </c>
      <c r="R91" s="58"/>
      <c r="S91" s="58"/>
      <c r="T91" s="53"/>
    </row>
    <row r="92" spans="1:20" s="12" customFormat="1" ht="40.700000000000003" hidden="1" customHeight="1">
      <c r="A92" s="78" t="s">
        <v>135</v>
      </c>
      <c r="B92" s="78" t="s">
        <v>297</v>
      </c>
      <c r="C92" s="78" t="s">
        <v>58</v>
      </c>
      <c r="D92" s="25" t="s">
        <v>89</v>
      </c>
      <c r="E92" s="30" t="s">
        <v>27</v>
      </c>
      <c r="F92" s="89">
        <f t="shared" si="21"/>
        <v>0</v>
      </c>
      <c r="G92" s="89"/>
      <c r="H92" s="89"/>
      <c r="I92" s="89"/>
      <c r="J92" s="89"/>
      <c r="K92" s="89">
        <f t="shared" si="34"/>
        <v>0</v>
      </c>
      <c r="L92" s="89"/>
      <c r="M92" s="89"/>
      <c r="N92" s="89"/>
      <c r="O92" s="89"/>
      <c r="P92" s="89"/>
      <c r="Q92" s="89">
        <f t="shared" si="33"/>
        <v>0</v>
      </c>
      <c r="R92" s="58"/>
      <c r="S92" s="58"/>
      <c r="T92" s="53"/>
    </row>
    <row r="93" spans="1:20" s="12" customFormat="1" ht="40.700000000000003" hidden="1" customHeight="1">
      <c r="A93" s="78" t="s">
        <v>137</v>
      </c>
      <c r="B93" s="78" t="s">
        <v>298</v>
      </c>
      <c r="C93" s="78" t="s">
        <v>58</v>
      </c>
      <c r="D93" s="25" t="s">
        <v>85</v>
      </c>
      <c r="E93" s="30" t="s">
        <v>23</v>
      </c>
      <c r="F93" s="89">
        <f t="shared" si="21"/>
        <v>0</v>
      </c>
      <c r="G93" s="89"/>
      <c r="H93" s="89"/>
      <c r="I93" s="89"/>
      <c r="J93" s="89"/>
      <c r="K93" s="89">
        <f t="shared" si="34"/>
        <v>0</v>
      </c>
      <c r="L93" s="89"/>
      <c r="M93" s="89"/>
      <c r="N93" s="89"/>
      <c r="O93" s="89"/>
      <c r="P93" s="89"/>
      <c r="Q93" s="89">
        <f t="shared" si="33"/>
        <v>0</v>
      </c>
      <c r="R93" s="58"/>
      <c r="S93" s="58"/>
      <c r="T93" s="53"/>
    </row>
    <row r="94" spans="1:20" s="12" customFormat="1" ht="40.700000000000003" hidden="1" customHeight="1">
      <c r="A94" s="78" t="s">
        <v>138</v>
      </c>
      <c r="B94" s="78" t="s">
        <v>299</v>
      </c>
      <c r="C94" s="78" t="s">
        <v>58</v>
      </c>
      <c r="D94" s="25" t="s">
        <v>86</v>
      </c>
      <c r="E94" s="30" t="s">
        <v>21</v>
      </c>
      <c r="F94" s="89">
        <f t="shared" si="21"/>
        <v>0</v>
      </c>
      <c r="G94" s="89"/>
      <c r="H94" s="89"/>
      <c r="I94" s="89"/>
      <c r="J94" s="89"/>
      <c r="K94" s="89">
        <f t="shared" si="34"/>
        <v>0</v>
      </c>
      <c r="L94" s="89"/>
      <c r="M94" s="89"/>
      <c r="N94" s="89"/>
      <c r="O94" s="89"/>
      <c r="P94" s="89"/>
      <c r="Q94" s="89">
        <f t="shared" si="33"/>
        <v>0</v>
      </c>
      <c r="R94" s="58"/>
      <c r="S94" s="58"/>
      <c r="T94" s="53"/>
    </row>
    <row r="95" spans="1:20" s="12" customFormat="1" ht="40.700000000000003" hidden="1" customHeight="1">
      <c r="A95" s="78" t="s">
        <v>139</v>
      </c>
      <c r="B95" s="78" t="s">
        <v>300</v>
      </c>
      <c r="C95" s="78" t="s">
        <v>58</v>
      </c>
      <c r="D95" s="25" t="s">
        <v>87</v>
      </c>
      <c r="E95" s="30" t="s">
        <v>28</v>
      </c>
      <c r="F95" s="89">
        <f t="shared" si="21"/>
        <v>0</v>
      </c>
      <c r="G95" s="89"/>
      <c r="H95" s="89"/>
      <c r="I95" s="89"/>
      <c r="J95" s="89"/>
      <c r="K95" s="89">
        <f t="shared" si="34"/>
        <v>0</v>
      </c>
      <c r="L95" s="89"/>
      <c r="M95" s="89"/>
      <c r="N95" s="89"/>
      <c r="O95" s="89"/>
      <c r="P95" s="89"/>
      <c r="Q95" s="89">
        <f t="shared" si="33"/>
        <v>0</v>
      </c>
      <c r="R95" s="58"/>
      <c r="S95" s="58"/>
      <c r="T95" s="53"/>
    </row>
    <row r="96" spans="1:20" s="12" customFormat="1" ht="40.700000000000003" hidden="1" customHeight="1">
      <c r="A96" s="78" t="s">
        <v>140</v>
      </c>
      <c r="B96" s="78" t="s">
        <v>301</v>
      </c>
      <c r="C96" s="78" t="s">
        <v>58</v>
      </c>
      <c r="D96" s="25" t="s">
        <v>88</v>
      </c>
      <c r="E96" s="30" t="s">
        <v>16</v>
      </c>
      <c r="F96" s="89">
        <f t="shared" si="21"/>
        <v>0</v>
      </c>
      <c r="G96" s="89"/>
      <c r="H96" s="89"/>
      <c r="I96" s="89"/>
      <c r="J96" s="89"/>
      <c r="K96" s="89">
        <f t="shared" si="34"/>
        <v>0</v>
      </c>
      <c r="L96" s="89"/>
      <c r="M96" s="89"/>
      <c r="N96" s="89"/>
      <c r="O96" s="89"/>
      <c r="P96" s="89"/>
      <c r="Q96" s="89">
        <f t="shared" si="33"/>
        <v>0</v>
      </c>
      <c r="R96" s="58"/>
      <c r="S96" s="58"/>
      <c r="T96" s="53"/>
    </row>
    <row r="97" spans="1:20" s="12" customFormat="1" ht="40.700000000000003" hidden="1" customHeight="1">
      <c r="A97" s="78" t="s">
        <v>141</v>
      </c>
      <c r="B97" s="78" t="s">
        <v>302</v>
      </c>
      <c r="C97" s="78" t="s">
        <v>58</v>
      </c>
      <c r="D97" s="25" t="s">
        <v>90</v>
      </c>
      <c r="E97" s="30" t="s">
        <v>22</v>
      </c>
      <c r="F97" s="89">
        <f t="shared" si="21"/>
        <v>0</v>
      </c>
      <c r="G97" s="89"/>
      <c r="H97" s="89"/>
      <c r="I97" s="89"/>
      <c r="J97" s="89"/>
      <c r="K97" s="89">
        <f t="shared" si="34"/>
        <v>0</v>
      </c>
      <c r="L97" s="89"/>
      <c r="M97" s="89"/>
      <c r="N97" s="89"/>
      <c r="O97" s="89"/>
      <c r="P97" s="89"/>
      <c r="Q97" s="89">
        <f t="shared" si="33"/>
        <v>0</v>
      </c>
      <c r="R97" s="58"/>
      <c r="S97" s="58"/>
      <c r="T97" s="53"/>
    </row>
    <row r="98" spans="1:20" s="12" customFormat="1" ht="40.700000000000003" hidden="1" customHeight="1">
      <c r="A98" s="78" t="s">
        <v>251</v>
      </c>
      <c r="B98" s="78" t="s">
        <v>303</v>
      </c>
      <c r="C98" s="78" t="s">
        <v>58</v>
      </c>
      <c r="D98" s="25" t="s">
        <v>252</v>
      </c>
      <c r="E98" s="30"/>
      <c r="F98" s="89">
        <f t="shared" si="21"/>
        <v>0</v>
      </c>
      <c r="G98" s="89"/>
      <c r="H98" s="89"/>
      <c r="I98" s="89"/>
      <c r="J98" s="89"/>
      <c r="K98" s="89"/>
      <c r="L98" s="89"/>
      <c r="M98" s="89"/>
      <c r="N98" s="89"/>
      <c r="O98" s="89"/>
      <c r="P98" s="89"/>
      <c r="Q98" s="89">
        <f t="shared" si="33"/>
        <v>0</v>
      </c>
      <c r="R98" s="58"/>
      <c r="S98" s="58"/>
      <c r="T98" s="53"/>
    </row>
    <row r="99" spans="1:20" s="12" customFormat="1" ht="83.1" customHeight="1">
      <c r="A99" s="78" t="s">
        <v>134</v>
      </c>
      <c r="B99" s="78" t="s">
        <v>304</v>
      </c>
      <c r="C99" s="78" t="s">
        <v>69</v>
      </c>
      <c r="D99" s="25" t="s">
        <v>83</v>
      </c>
      <c r="E99" s="30" t="s">
        <v>50</v>
      </c>
      <c r="F99" s="89">
        <f t="shared" si="21"/>
        <v>98500</v>
      </c>
      <c r="G99" s="89">
        <v>98500</v>
      </c>
      <c r="H99" s="89"/>
      <c r="I99" s="89"/>
      <c r="J99" s="89"/>
      <c r="K99" s="89">
        <f t="shared" ref="K99:K105" si="35">M99+P99</f>
        <v>0</v>
      </c>
      <c r="L99" s="89"/>
      <c r="M99" s="89"/>
      <c r="N99" s="89"/>
      <c r="O99" s="89"/>
      <c r="P99" s="89"/>
      <c r="Q99" s="89">
        <f t="shared" si="33"/>
        <v>98500</v>
      </c>
      <c r="R99" s="58"/>
      <c r="S99" s="58"/>
      <c r="T99" s="53"/>
    </row>
    <row r="100" spans="1:20" s="12" customFormat="1" ht="194.25" hidden="1" customHeight="1">
      <c r="A100" s="78" t="s">
        <v>142</v>
      </c>
      <c r="B100" s="78" t="s">
        <v>305</v>
      </c>
      <c r="C100" s="82"/>
      <c r="D100" s="25" t="s">
        <v>250</v>
      </c>
      <c r="E100" s="30" t="s">
        <v>46</v>
      </c>
      <c r="F100" s="89">
        <f t="shared" si="21"/>
        <v>0</v>
      </c>
      <c r="G100" s="89"/>
      <c r="H100" s="90"/>
      <c r="I100" s="90"/>
      <c r="J100" s="90"/>
      <c r="K100" s="89">
        <f t="shared" si="35"/>
        <v>0</v>
      </c>
      <c r="L100" s="89"/>
      <c r="M100" s="90"/>
      <c r="N100" s="89"/>
      <c r="O100" s="90"/>
      <c r="P100" s="90"/>
      <c r="Q100" s="89">
        <f t="shared" si="33"/>
        <v>0</v>
      </c>
      <c r="R100" s="58"/>
      <c r="S100" s="58"/>
      <c r="T100" s="53"/>
    </row>
    <row r="101" spans="1:20" s="12" customFormat="1" ht="45.75" hidden="1" customHeight="1">
      <c r="A101" s="78" t="s">
        <v>193</v>
      </c>
      <c r="B101" s="78" t="s">
        <v>306</v>
      </c>
      <c r="C101" s="78" t="s">
        <v>71</v>
      </c>
      <c r="D101" s="25" t="s">
        <v>198</v>
      </c>
      <c r="E101" s="30"/>
      <c r="F101" s="89">
        <f t="shared" si="21"/>
        <v>0</v>
      </c>
      <c r="G101" s="89"/>
      <c r="H101" s="90"/>
      <c r="I101" s="90"/>
      <c r="J101" s="90"/>
      <c r="K101" s="89">
        <f t="shared" si="35"/>
        <v>0</v>
      </c>
      <c r="L101" s="89"/>
      <c r="M101" s="90"/>
      <c r="N101" s="89"/>
      <c r="O101" s="90"/>
      <c r="P101" s="90"/>
      <c r="Q101" s="89">
        <f t="shared" si="33"/>
        <v>0</v>
      </c>
      <c r="R101" s="58"/>
      <c r="S101" s="58"/>
      <c r="T101" s="53"/>
    </row>
    <row r="102" spans="1:20" s="12" customFormat="1" ht="65.45" hidden="1" customHeight="1">
      <c r="A102" s="78" t="s">
        <v>194</v>
      </c>
      <c r="B102" s="78" t="s">
        <v>307</v>
      </c>
      <c r="C102" s="78" t="s">
        <v>71</v>
      </c>
      <c r="D102" s="25" t="s">
        <v>199</v>
      </c>
      <c r="E102" s="30"/>
      <c r="F102" s="89">
        <f t="shared" si="21"/>
        <v>0</v>
      </c>
      <c r="G102" s="89"/>
      <c r="H102" s="90"/>
      <c r="I102" s="90"/>
      <c r="J102" s="90"/>
      <c r="K102" s="89">
        <f t="shared" si="35"/>
        <v>0</v>
      </c>
      <c r="L102" s="89"/>
      <c r="M102" s="90"/>
      <c r="N102" s="89"/>
      <c r="O102" s="90"/>
      <c r="P102" s="90"/>
      <c r="Q102" s="89">
        <f t="shared" si="33"/>
        <v>0</v>
      </c>
      <c r="R102" s="58"/>
      <c r="S102" s="58"/>
      <c r="T102" s="53"/>
    </row>
    <row r="103" spans="1:20" s="12" customFormat="1" ht="45.75" hidden="1" customHeight="1">
      <c r="A103" s="78" t="s">
        <v>195</v>
      </c>
      <c r="B103" s="78" t="s">
        <v>308</v>
      </c>
      <c r="C103" s="78" t="s">
        <v>71</v>
      </c>
      <c r="D103" s="25" t="s">
        <v>200</v>
      </c>
      <c r="E103" s="30"/>
      <c r="F103" s="89">
        <f t="shared" si="21"/>
        <v>0</v>
      </c>
      <c r="G103" s="89"/>
      <c r="H103" s="90"/>
      <c r="I103" s="90"/>
      <c r="J103" s="90"/>
      <c r="K103" s="89">
        <f t="shared" si="35"/>
        <v>0</v>
      </c>
      <c r="L103" s="89"/>
      <c r="M103" s="90"/>
      <c r="N103" s="89"/>
      <c r="O103" s="90"/>
      <c r="P103" s="90"/>
      <c r="Q103" s="89">
        <f t="shared" si="33"/>
        <v>0</v>
      </c>
      <c r="R103" s="58"/>
      <c r="S103" s="58"/>
      <c r="T103" s="53"/>
    </row>
    <row r="104" spans="1:20" s="12" customFormat="1" ht="68.25" hidden="1" customHeight="1">
      <c r="A104" s="78" t="s">
        <v>196</v>
      </c>
      <c r="B104" s="78" t="s">
        <v>309</v>
      </c>
      <c r="C104" s="78" t="s">
        <v>71</v>
      </c>
      <c r="D104" s="25" t="s">
        <v>201</v>
      </c>
      <c r="E104" s="30"/>
      <c r="F104" s="89">
        <f t="shared" si="21"/>
        <v>0</v>
      </c>
      <c r="G104" s="89"/>
      <c r="H104" s="90"/>
      <c r="I104" s="90"/>
      <c r="J104" s="90"/>
      <c r="K104" s="89">
        <f t="shared" si="35"/>
        <v>0</v>
      </c>
      <c r="L104" s="89"/>
      <c r="M104" s="90"/>
      <c r="N104" s="89"/>
      <c r="O104" s="90"/>
      <c r="P104" s="90"/>
      <c r="Q104" s="89">
        <f t="shared" si="33"/>
        <v>0</v>
      </c>
      <c r="R104" s="58"/>
      <c r="S104" s="58"/>
      <c r="T104" s="53"/>
    </row>
    <row r="105" spans="1:20" s="12" customFormat="1" ht="81.2" hidden="1" customHeight="1">
      <c r="A105" s="78" t="s">
        <v>197</v>
      </c>
      <c r="B105" s="78" t="s">
        <v>310</v>
      </c>
      <c r="C105" s="78" t="s">
        <v>71</v>
      </c>
      <c r="D105" s="25" t="s">
        <v>202</v>
      </c>
      <c r="E105" s="30"/>
      <c r="F105" s="89">
        <f t="shared" si="21"/>
        <v>0</v>
      </c>
      <c r="G105" s="89"/>
      <c r="H105" s="90"/>
      <c r="I105" s="90"/>
      <c r="J105" s="90"/>
      <c r="K105" s="89">
        <f t="shared" si="35"/>
        <v>0</v>
      </c>
      <c r="L105" s="89"/>
      <c r="M105" s="90"/>
      <c r="N105" s="89"/>
      <c r="O105" s="90"/>
      <c r="P105" s="90"/>
      <c r="Q105" s="89">
        <f t="shared" si="33"/>
        <v>0</v>
      </c>
      <c r="R105" s="58"/>
      <c r="S105" s="58"/>
      <c r="T105" s="53"/>
    </row>
    <row r="106" spans="1:20" s="4" customFormat="1" ht="115.15" customHeight="1">
      <c r="A106" s="78" t="s">
        <v>143</v>
      </c>
      <c r="B106" s="78" t="s">
        <v>311</v>
      </c>
      <c r="C106" s="78" t="s">
        <v>72</v>
      </c>
      <c r="D106" s="25" t="s">
        <v>93</v>
      </c>
      <c r="E106" s="30" t="s">
        <v>49</v>
      </c>
      <c r="F106" s="89">
        <f t="shared" si="21"/>
        <v>19159700</v>
      </c>
      <c r="G106" s="89">
        <f>13399700+3900000+50000+50000+1760000</f>
        <v>19159700</v>
      </c>
      <c r="H106" s="90">
        <f>9410700+3200000+1480000</f>
        <v>14090700</v>
      </c>
      <c r="I106" s="90">
        <f>1058000-200000</f>
        <v>858000</v>
      </c>
      <c r="J106" s="90"/>
      <c r="K106" s="89">
        <f t="shared" si="34"/>
        <v>778900</v>
      </c>
      <c r="L106" s="89">
        <f>508900+50000-50000</f>
        <v>508900</v>
      </c>
      <c r="M106" s="90">
        <v>270000</v>
      </c>
      <c r="N106" s="89">
        <v>197000</v>
      </c>
      <c r="O106" s="90"/>
      <c r="P106" s="90">
        <f>L106</f>
        <v>508900</v>
      </c>
      <c r="Q106" s="89">
        <f t="shared" si="33"/>
        <v>19938600</v>
      </c>
      <c r="R106" s="57"/>
      <c r="S106" s="57"/>
      <c r="T106" s="56"/>
    </row>
    <row r="107" spans="1:20" s="4" customFormat="1" ht="176.25" customHeight="1">
      <c r="A107" s="78" t="s">
        <v>416</v>
      </c>
      <c r="B107" s="78" t="s">
        <v>362</v>
      </c>
      <c r="C107" s="78" t="s">
        <v>58</v>
      </c>
      <c r="D107" s="47" t="s">
        <v>453</v>
      </c>
      <c r="E107" s="126" t="s">
        <v>32</v>
      </c>
      <c r="F107" s="89">
        <f t="shared" si="21"/>
        <v>5413100</v>
      </c>
      <c r="G107" s="89">
        <f>4600000+700000+113100</f>
        <v>5413100</v>
      </c>
      <c r="H107" s="90">
        <f>3406600+570000</f>
        <v>3976600</v>
      </c>
      <c r="I107" s="90">
        <f>338600+1400</f>
        <v>340000</v>
      </c>
      <c r="J107" s="90"/>
      <c r="K107" s="89">
        <f>M107+P107</f>
        <v>0</v>
      </c>
      <c r="L107" s="89"/>
      <c r="M107" s="89"/>
      <c r="N107" s="89"/>
      <c r="O107" s="90"/>
      <c r="P107" s="90">
        <f>L107</f>
        <v>0</v>
      </c>
      <c r="Q107" s="89">
        <f>F107+K107</f>
        <v>5413100</v>
      </c>
      <c r="R107" s="57"/>
      <c r="S107" s="57"/>
      <c r="T107" s="56"/>
    </row>
    <row r="108" spans="1:20" s="4" customFormat="1" ht="176.25" customHeight="1">
      <c r="A108" s="81" t="s">
        <v>211</v>
      </c>
      <c r="B108" s="81" t="s">
        <v>312</v>
      </c>
      <c r="C108" s="81" t="s">
        <v>71</v>
      </c>
      <c r="D108" s="41" t="s">
        <v>212</v>
      </c>
      <c r="E108" s="125"/>
      <c r="F108" s="94">
        <f t="shared" si="21"/>
        <v>2361100</v>
      </c>
      <c r="G108" s="89">
        <f>3001100-580000-60000</f>
        <v>2361100</v>
      </c>
      <c r="H108" s="90"/>
      <c r="I108" s="90"/>
      <c r="J108" s="90"/>
      <c r="K108" s="89">
        <f t="shared" si="34"/>
        <v>0</v>
      </c>
      <c r="L108" s="89"/>
      <c r="M108" s="90"/>
      <c r="N108" s="89"/>
      <c r="O108" s="90"/>
      <c r="P108" s="90"/>
      <c r="Q108" s="89">
        <f t="shared" si="33"/>
        <v>2361100</v>
      </c>
      <c r="R108" s="57"/>
      <c r="S108" s="57"/>
      <c r="T108" s="56"/>
    </row>
    <row r="109" spans="1:20" s="4" customFormat="1" ht="152.1" customHeight="1">
      <c r="A109" s="78" t="s">
        <v>184</v>
      </c>
      <c r="B109" s="78" t="s">
        <v>313</v>
      </c>
      <c r="C109" s="78" t="s">
        <v>70</v>
      </c>
      <c r="D109" s="25" t="s">
        <v>185</v>
      </c>
      <c r="E109" s="30" t="s">
        <v>3</v>
      </c>
      <c r="F109" s="89">
        <f t="shared" si="21"/>
        <v>48200</v>
      </c>
      <c r="G109" s="89">
        <f>44000+7000-2800</f>
        <v>48200</v>
      </c>
      <c r="H109" s="90"/>
      <c r="I109" s="90"/>
      <c r="J109" s="90"/>
      <c r="K109" s="89">
        <f t="shared" si="34"/>
        <v>0</v>
      </c>
      <c r="L109" s="89"/>
      <c r="M109" s="90"/>
      <c r="N109" s="89"/>
      <c r="O109" s="90"/>
      <c r="P109" s="90"/>
      <c r="Q109" s="89">
        <f t="shared" si="33"/>
        <v>48200</v>
      </c>
      <c r="R109" s="57"/>
      <c r="S109" s="57"/>
      <c r="T109" s="56"/>
    </row>
    <row r="110" spans="1:20" s="4" customFormat="1" ht="110.45" customHeight="1">
      <c r="A110" s="78" t="s">
        <v>186</v>
      </c>
      <c r="B110" s="78" t="s">
        <v>314</v>
      </c>
      <c r="C110" s="78" t="s">
        <v>68</v>
      </c>
      <c r="D110" s="25" t="s">
        <v>507</v>
      </c>
      <c r="E110" s="30" t="s">
        <v>47</v>
      </c>
      <c r="F110" s="89">
        <f t="shared" si="21"/>
        <v>156810</v>
      </c>
      <c r="G110" s="89">
        <f>121000+5000+30810</f>
        <v>156810</v>
      </c>
      <c r="H110" s="90"/>
      <c r="I110" s="90"/>
      <c r="J110" s="90"/>
      <c r="K110" s="89">
        <f t="shared" si="34"/>
        <v>0</v>
      </c>
      <c r="L110" s="89"/>
      <c r="M110" s="90"/>
      <c r="N110" s="89"/>
      <c r="O110" s="90"/>
      <c r="P110" s="90"/>
      <c r="Q110" s="89">
        <f t="shared" si="33"/>
        <v>156810</v>
      </c>
      <c r="R110" s="57"/>
      <c r="S110" s="57"/>
      <c r="T110" s="56"/>
    </row>
    <row r="111" spans="1:20" s="4" customFormat="1" ht="125.25" customHeight="1">
      <c r="A111" s="78" t="s">
        <v>479</v>
      </c>
      <c r="B111" s="78" t="s">
        <v>480</v>
      </c>
      <c r="C111" s="78" t="s">
        <v>68</v>
      </c>
      <c r="D111" s="25" t="s">
        <v>481</v>
      </c>
      <c r="E111" s="30"/>
      <c r="F111" s="89">
        <f t="shared" si="21"/>
        <v>458985</v>
      </c>
      <c r="G111" s="89">
        <f>245720+68980-68980+122860-16100+106505</f>
        <v>458985</v>
      </c>
      <c r="H111" s="90">
        <f>201408+100704-13200+87300</f>
        <v>376212</v>
      </c>
      <c r="I111" s="90"/>
      <c r="J111" s="90"/>
      <c r="K111" s="89">
        <f t="shared" si="34"/>
        <v>0</v>
      </c>
      <c r="L111" s="89"/>
      <c r="M111" s="90"/>
      <c r="N111" s="89"/>
      <c r="O111" s="90"/>
      <c r="P111" s="90"/>
      <c r="Q111" s="89">
        <f t="shared" si="33"/>
        <v>458985</v>
      </c>
      <c r="R111" s="57"/>
      <c r="S111" s="57"/>
      <c r="T111" s="56"/>
    </row>
    <row r="112" spans="1:20" s="4" customFormat="1" ht="409.6" customHeight="1">
      <c r="A112" s="78" t="s">
        <v>517</v>
      </c>
      <c r="B112" s="78" t="s">
        <v>518</v>
      </c>
      <c r="C112" s="78" t="s">
        <v>70</v>
      </c>
      <c r="D112" s="131" t="s">
        <v>519</v>
      </c>
      <c r="E112" s="38"/>
      <c r="F112" s="89">
        <f t="shared" si="21"/>
        <v>0</v>
      </c>
      <c r="G112" s="92">
        <v>0</v>
      </c>
      <c r="H112" s="93"/>
      <c r="I112" s="93"/>
      <c r="J112" s="93"/>
      <c r="K112" s="89">
        <f t="shared" si="34"/>
        <v>10823862</v>
      </c>
      <c r="L112" s="92">
        <f>12994937-2171075</f>
        <v>10823862</v>
      </c>
      <c r="M112" s="93"/>
      <c r="N112" s="92"/>
      <c r="O112" s="93"/>
      <c r="P112" s="93">
        <f>L112</f>
        <v>10823862</v>
      </c>
      <c r="Q112" s="89">
        <f t="shared" si="33"/>
        <v>10823862</v>
      </c>
      <c r="R112" s="57"/>
      <c r="S112" s="57"/>
      <c r="T112" s="56"/>
    </row>
    <row r="113" spans="1:20" s="4" customFormat="1" ht="70.349999999999994" customHeight="1">
      <c r="A113" s="78" t="s">
        <v>204</v>
      </c>
      <c r="B113" s="78" t="s">
        <v>279</v>
      </c>
      <c r="C113" s="78" t="s">
        <v>57</v>
      </c>
      <c r="D113" s="35" t="s">
        <v>182</v>
      </c>
      <c r="E113" s="38"/>
      <c r="F113" s="89">
        <f t="shared" si="21"/>
        <v>10646398</v>
      </c>
      <c r="G113" s="92">
        <f>11317900+6000+1595000+6000+53000-2324502-7000</f>
        <v>10646398</v>
      </c>
      <c r="H113" s="93"/>
      <c r="I113" s="93"/>
      <c r="J113" s="93"/>
      <c r="K113" s="89">
        <f t="shared" si="34"/>
        <v>0</v>
      </c>
      <c r="L113" s="92"/>
      <c r="M113" s="93"/>
      <c r="N113" s="92"/>
      <c r="O113" s="93"/>
      <c r="P113" s="93"/>
      <c r="Q113" s="89">
        <f t="shared" si="33"/>
        <v>10646398</v>
      </c>
      <c r="R113" s="57"/>
      <c r="S113" s="57"/>
      <c r="T113" s="56"/>
    </row>
    <row r="114" spans="1:20" s="4" customFormat="1" ht="80.099999999999994" customHeight="1">
      <c r="A114" s="78" t="s">
        <v>351</v>
      </c>
      <c r="B114" s="78" t="s">
        <v>343</v>
      </c>
      <c r="C114" s="78" t="s">
        <v>344</v>
      </c>
      <c r="D114" s="25" t="s">
        <v>345</v>
      </c>
      <c r="E114" s="38"/>
      <c r="F114" s="89">
        <f t="shared" si="21"/>
        <v>49040</v>
      </c>
      <c r="G114" s="92">
        <f>30000+30000+7000-5320-12640</f>
        <v>49040</v>
      </c>
      <c r="H114" s="93"/>
      <c r="I114" s="93"/>
      <c r="J114" s="93"/>
      <c r="K114" s="89">
        <f t="shared" si="34"/>
        <v>0</v>
      </c>
      <c r="L114" s="92"/>
      <c r="M114" s="92"/>
      <c r="N114" s="92"/>
      <c r="O114" s="93"/>
      <c r="P114" s="93">
        <f>L114</f>
        <v>0</v>
      </c>
      <c r="Q114" s="89">
        <f>F114+K114</f>
        <v>49040</v>
      </c>
      <c r="R114" s="57"/>
      <c r="S114" s="57"/>
      <c r="T114" s="56"/>
    </row>
    <row r="115" spans="1:20" s="4" customFormat="1" ht="30.2" hidden="1" customHeight="1">
      <c r="A115" s="78" t="s">
        <v>249</v>
      </c>
      <c r="B115" s="78" t="s">
        <v>282</v>
      </c>
      <c r="C115" s="78" t="s">
        <v>76</v>
      </c>
      <c r="D115" s="35" t="s">
        <v>110</v>
      </c>
      <c r="E115" s="3"/>
      <c r="F115" s="89">
        <f t="shared" si="21"/>
        <v>0</v>
      </c>
      <c r="G115" s="89"/>
      <c r="H115" s="90"/>
      <c r="I115" s="90"/>
      <c r="J115" s="90"/>
      <c r="K115" s="89">
        <f t="shared" si="34"/>
        <v>0</v>
      </c>
      <c r="L115" s="89"/>
      <c r="M115" s="90"/>
      <c r="N115" s="89"/>
      <c r="O115" s="90"/>
      <c r="P115" s="90"/>
      <c r="Q115" s="89">
        <f t="shared" ref="Q115:Q117" si="36">F115+K115</f>
        <v>0</v>
      </c>
      <c r="R115" s="57"/>
      <c r="S115" s="57"/>
      <c r="T115" s="56"/>
    </row>
    <row r="116" spans="1:20" s="4" customFormat="1" ht="89.25" customHeight="1">
      <c r="A116" s="78" t="s">
        <v>535</v>
      </c>
      <c r="B116" s="78" t="s">
        <v>285</v>
      </c>
      <c r="C116" s="78" t="s">
        <v>61</v>
      </c>
      <c r="D116" s="25" t="s">
        <v>215</v>
      </c>
      <c r="E116" s="3"/>
      <c r="F116" s="89">
        <f t="shared" si="21"/>
        <v>199427</v>
      </c>
      <c r="G116" s="89">
        <v>199427</v>
      </c>
      <c r="H116" s="90"/>
      <c r="I116" s="90"/>
      <c r="J116" s="90"/>
      <c r="K116" s="89"/>
      <c r="L116" s="89"/>
      <c r="M116" s="90"/>
      <c r="N116" s="89"/>
      <c r="O116" s="90"/>
      <c r="P116" s="90"/>
      <c r="Q116" s="89"/>
      <c r="R116" s="57"/>
      <c r="S116" s="57"/>
      <c r="T116" s="56"/>
    </row>
    <row r="117" spans="1:20" s="4" customFormat="1" ht="99.75" customHeight="1">
      <c r="A117" s="78" t="s">
        <v>489</v>
      </c>
      <c r="B117" s="78" t="s">
        <v>418</v>
      </c>
      <c r="C117" s="78" t="s">
        <v>348</v>
      </c>
      <c r="D117" s="35" t="s">
        <v>420</v>
      </c>
      <c r="E117" s="3"/>
      <c r="F117" s="89">
        <f t="shared" si="21"/>
        <v>114024</v>
      </c>
      <c r="G117" s="89">
        <f>95000+90000-70976</f>
        <v>114024</v>
      </c>
      <c r="H117" s="90"/>
      <c r="I117" s="90"/>
      <c r="J117" s="90"/>
      <c r="K117" s="89">
        <f t="shared" si="34"/>
        <v>0</v>
      </c>
      <c r="L117" s="89"/>
      <c r="M117" s="90"/>
      <c r="N117" s="89"/>
      <c r="O117" s="90"/>
      <c r="P117" s="90"/>
      <c r="Q117" s="89">
        <f t="shared" si="36"/>
        <v>114024</v>
      </c>
      <c r="R117" s="57"/>
      <c r="S117" s="57"/>
      <c r="T117" s="56"/>
    </row>
    <row r="118" spans="1:20" s="22" customFormat="1" ht="72.75" customHeight="1">
      <c r="A118" s="65" t="s">
        <v>77</v>
      </c>
      <c r="B118" s="65" t="s">
        <v>77</v>
      </c>
      <c r="C118" s="71"/>
      <c r="D118" s="70" t="s">
        <v>31</v>
      </c>
      <c r="E118" s="69" t="s">
        <v>31</v>
      </c>
      <c r="F118" s="111">
        <f t="shared" si="21"/>
        <v>47470202</v>
      </c>
      <c r="G118" s="68">
        <f t="shared" ref="G118:P118" si="37">G119</f>
        <v>47470202</v>
      </c>
      <c r="H118" s="68">
        <f t="shared" si="37"/>
        <v>33893900</v>
      </c>
      <c r="I118" s="68">
        <f t="shared" si="37"/>
        <v>3841700</v>
      </c>
      <c r="J118" s="68">
        <f t="shared" si="37"/>
        <v>0</v>
      </c>
      <c r="K118" s="68">
        <f t="shared" si="37"/>
        <v>1493750</v>
      </c>
      <c r="L118" s="68">
        <f t="shared" si="37"/>
        <v>447750</v>
      </c>
      <c r="M118" s="68">
        <f t="shared" si="37"/>
        <v>1046000</v>
      </c>
      <c r="N118" s="68">
        <f t="shared" si="37"/>
        <v>240100</v>
      </c>
      <c r="O118" s="68">
        <f t="shared" si="37"/>
        <v>0</v>
      </c>
      <c r="P118" s="68">
        <f t="shared" si="37"/>
        <v>447750</v>
      </c>
      <c r="Q118" s="68">
        <f>Q119</f>
        <v>48963952</v>
      </c>
      <c r="R118" s="54"/>
      <c r="S118" s="58"/>
      <c r="T118" s="53"/>
    </row>
    <row r="119" spans="1:20" s="22" customFormat="1" ht="62.45" customHeight="1">
      <c r="A119" s="82" t="s">
        <v>113</v>
      </c>
      <c r="B119" s="82" t="s">
        <v>316</v>
      </c>
      <c r="C119" s="78"/>
      <c r="D119" s="31" t="str">
        <f>D118</f>
        <v>Управління культури і туризму міської ради</v>
      </c>
      <c r="E119" s="28"/>
      <c r="F119" s="89">
        <f t="shared" si="21"/>
        <v>47470202</v>
      </c>
      <c r="G119" s="89">
        <f>SUM(G120:G130)</f>
        <v>47470202</v>
      </c>
      <c r="H119" s="89">
        <f t="shared" ref="H119:P119" si="38">SUM(H120:H129)</f>
        <v>33893900</v>
      </c>
      <c r="I119" s="89">
        <f t="shared" si="38"/>
        <v>3841700</v>
      </c>
      <c r="J119" s="89">
        <f t="shared" si="38"/>
        <v>0</v>
      </c>
      <c r="K119" s="89">
        <f t="shared" si="38"/>
        <v>1493750</v>
      </c>
      <c r="L119" s="89">
        <f t="shared" si="38"/>
        <v>447750</v>
      </c>
      <c r="M119" s="89">
        <f t="shared" si="38"/>
        <v>1046000</v>
      </c>
      <c r="N119" s="89">
        <f t="shared" si="38"/>
        <v>240100</v>
      </c>
      <c r="O119" s="89">
        <f t="shared" si="38"/>
        <v>0</v>
      </c>
      <c r="P119" s="89">
        <f t="shared" si="38"/>
        <v>447750</v>
      </c>
      <c r="Q119" s="89">
        <f t="shared" ref="Q119:Q175" si="39">F119+K119</f>
        <v>48963952</v>
      </c>
      <c r="R119" s="58"/>
      <c r="S119" s="58"/>
      <c r="T119" s="53"/>
    </row>
    <row r="120" spans="1:20" s="12" customFormat="1" ht="85.7" customHeight="1">
      <c r="A120" s="78" t="s">
        <v>146</v>
      </c>
      <c r="B120" s="78" t="s">
        <v>268</v>
      </c>
      <c r="C120" s="78" t="s">
        <v>53</v>
      </c>
      <c r="D120" s="33" t="s">
        <v>405</v>
      </c>
      <c r="E120" s="30" t="s">
        <v>2</v>
      </c>
      <c r="F120" s="89">
        <f t="shared" si="21"/>
        <v>3680200</v>
      </c>
      <c r="G120" s="89">
        <f>2191200+970000+124000+150000+245000</f>
        <v>3680200</v>
      </c>
      <c r="H120" s="90">
        <f>1713600+800000+73000+100000+205000</f>
        <v>2891600</v>
      </c>
      <c r="I120" s="90">
        <v>52000</v>
      </c>
      <c r="J120" s="90"/>
      <c r="K120" s="89">
        <f t="shared" ref="K120:K130" si="40">M120+P120</f>
        <v>10000</v>
      </c>
      <c r="L120" s="89"/>
      <c r="M120" s="90">
        <v>10000</v>
      </c>
      <c r="N120" s="89"/>
      <c r="O120" s="90"/>
      <c r="P120" s="90">
        <f>L120</f>
        <v>0</v>
      </c>
      <c r="Q120" s="89">
        <f t="shared" si="39"/>
        <v>3690200</v>
      </c>
      <c r="R120" s="58"/>
      <c r="S120" s="58"/>
      <c r="T120" s="53"/>
    </row>
    <row r="121" spans="1:20" s="12" customFormat="1" ht="63" customHeight="1">
      <c r="A121" s="78" t="s">
        <v>205</v>
      </c>
      <c r="B121" s="78" t="s">
        <v>225</v>
      </c>
      <c r="C121" s="78" t="s">
        <v>62</v>
      </c>
      <c r="D121" s="33" t="s">
        <v>109</v>
      </c>
      <c r="E121" s="30"/>
      <c r="F121" s="89">
        <f t="shared" si="21"/>
        <v>140000</v>
      </c>
      <c r="G121" s="89">
        <f>50000+90000</f>
        <v>140000</v>
      </c>
      <c r="H121" s="90"/>
      <c r="I121" s="90"/>
      <c r="J121" s="90"/>
      <c r="K121" s="89">
        <f t="shared" si="40"/>
        <v>0</v>
      </c>
      <c r="L121" s="89"/>
      <c r="M121" s="90"/>
      <c r="N121" s="89"/>
      <c r="O121" s="90"/>
      <c r="P121" s="90"/>
      <c r="Q121" s="89">
        <f t="shared" si="39"/>
        <v>140000</v>
      </c>
      <c r="R121" s="58"/>
      <c r="S121" s="58"/>
      <c r="T121" s="53"/>
    </row>
    <row r="122" spans="1:20" s="12" customFormat="1" ht="63" customHeight="1">
      <c r="A122" s="78" t="s">
        <v>384</v>
      </c>
      <c r="B122" s="78" t="s">
        <v>385</v>
      </c>
      <c r="C122" s="81" t="s">
        <v>65</v>
      </c>
      <c r="D122" s="48" t="s">
        <v>411</v>
      </c>
      <c r="E122" s="39"/>
      <c r="F122" s="89">
        <f t="shared" si="21"/>
        <v>24384502</v>
      </c>
      <c r="G122" s="89">
        <f>19390100+5850000+54402+30000-50000-400000+20000-380000-130000</f>
        <v>24384502</v>
      </c>
      <c r="H122" s="90">
        <f>14098500+4800000-400000</f>
        <v>18498500</v>
      </c>
      <c r="I122" s="90">
        <f>2149000-50000-380000-130000</f>
        <v>1589000</v>
      </c>
      <c r="J122" s="90"/>
      <c r="K122" s="89">
        <f>M122+P122</f>
        <v>850000</v>
      </c>
      <c r="L122" s="89">
        <f>20000-20000</f>
        <v>0</v>
      </c>
      <c r="M122" s="90">
        <v>850000</v>
      </c>
      <c r="N122" s="89">
        <v>215000</v>
      </c>
      <c r="O122" s="90"/>
      <c r="P122" s="90">
        <f t="shared" ref="P122:P127" si="41">L122</f>
        <v>0</v>
      </c>
      <c r="Q122" s="89">
        <f>F122+K122</f>
        <v>25234502</v>
      </c>
      <c r="R122" s="58"/>
      <c r="S122" s="58"/>
      <c r="T122" s="53"/>
    </row>
    <row r="123" spans="1:20" s="12" customFormat="1" ht="63" customHeight="1">
      <c r="A123" s="78" t="s">
        <v>147</v>
      </c>
      <c r="B123" s="78" t="s">
        <v>317</v>
      </c>
      <c r="C123" s="78" t="s">
        <v>94</v>
      </c>
      <c r="D123" s="25" t="s">
        <v>148</v>
      </c>
      <c r="E123" s="30" t="s">
        <v>9</v>
      </c>
      <c r="F123" s="89">
        <f t="shared" si="21"/>
        <v>6199400</v>
      </c>
      <c r="G123" s="89">
        <f>4830600+100000+1400000+30000-1200-80000-100000+20000</f>
        <v>6199400</v>
      </c>
      <c r="H123" s="90">
        <f>3167800+1150000-80000</f>
        <v>4237800</v>
      </c>
      <c r="I123" s="90">
        <f>912600-1200-8200-100000</f>
        <v>803200</v>
      </c>
      <c r="J123" s="90"/>
      <c r="K123" s="89">
        <f t="shared" si="40"/>
        <v>92000</v>
      </c>
      <c r="L123" s="89">
        <f>50000+17000</f>
        <v>67000</v>
      </c>
      <c r="M123" s="89">
        <v>25000</v>
      </c>
      <c r="N123" s="90"/>
      <c r="O123" s="90"/>
      <c r="P123" s="90">
        <f t="shared" si="41"/>
        <v>67000</v>
      </c>
      <c r="Q123" s="89">
        <f t="shared" si="39"/>
        <v>6291400</v>
      </c>
      <c r="R123" s="58"/>
      <c r="S123" s="58"/>
      <c r="T123" s="53"/>
    </row>
    <row r="124" spans="1:20" s="12" customFormat="1" ht="63" customHeight="1">
      <c r="A124" s="78" t="s">
        <v>149</v>
      </c>
      <c r="B124" s="78" t="s">
        <v>318</v>
      </c>
      <c r="C124" s="78" t="s">
        <v>94</v>
      </c>
      <c r="D124" s="25" t="s">
        <v>150</v>
      </c>
      <c r="E124" s="30" t="s">
        <v>10</v>
      </c>
      <c r="F124" s="89">
        <f t="shared" si="21"/>
        <v>5900900</v>
      </c>
      <c r="G124" s="89">
        <f>4478400+1270000+150000+25000-22500-100000+38000+62000</f>
        <v>5900900</v>
      </c>
      <c r="H124" s="90">
        <f>3041000+1050000-70000</f>
        <v>4021000</v>
      </c>
      <c r="I124" s="90">
        <f>665000-25000-22500</f>
        <v>617500</v>
      </c>
      <c r="J124" s="90"/>
      <c r="K124" s="89">
        <f t="shared" si="40"/>
        <v>76000</v>
      </c>
      <c r="L124" s="89">
        <f>1530000-1530000</f>
        <v>0</v>
      </c>
      <c r="M124" s="89">
        <v>76000</v>
      </c>
      <c r="N124" s="90">
        <v>20100</v>
      </c>
      <c r="O124" s="90"/>
      <c r="P124" s="90">
        <f t="shared" si="41"/>
        <v>0</v>
      </c>
      <c r="Q124" s="89">
        <f t="shared" si="39"/>
        <v>5976900</v>
      </c>
      <c r="R124" s="58"/>
      <c r="S124" s="58"/>
      <c r="T124" s="53"/>
    </row>
    <row r="125" spans="1:20" s="12" customFormat="1" ht="87" customHeight="1">
      <c r="A125" s="78" t="s">
        <v>152</v>
      </c>
      <c r="B125" s="78" t="s">
        <v>319</v>
      </c>
      <c r="C125" s="78" t="s">
        <v>75</v>
      </c>
      <c r="D125" s="25" t="s">
        <v>151</v>
      </c>
      <c r="E125" s="30" t="s">
        <v>11</v>
      </c>
      <c r="F125" s="89">
        <f t="shared" si="21"/>
        <v>3781800</v>
      </c>
      <c r="G125" s="89">
        <f>2861800+850000+30000+40000</f>
        <v>3781800</v>
      </c>
      <c r="H125" s="90">
        <f>1742000+700000</f>
        <v>2442000</v>
      </c>
      <c r="I125" s="90">
        <f>682500+40000</f>
        <v>722500</v>
      </c>
      <c r="J125" s="90"/>
      <c r="K125" s="89">
        <f t="shared" si="40"/>
        <v>131750</v>
      </c>
      <c r="L125" s="89">
        <f>46750</f>
        <v>46750</v>
      </c>
      <c r="M125" s="89">
        <v>85000</v>
      </c>
      <c r="N125" s="90">
        <v>5000</v>
      </c>
      <c r="O125" s="90"/>
      <c r="P125" s="90">
        <f t="shared" si="41"/>
        <v>46750</v>
      </c>
      <c r="Q125" s="89">
        <f t="shared" si="39"/>
        <v>3913550</v>
      </c>
      <c r="R125" s="58"/>
      <c r="S125" s="58"/>
      <c r="T125" s="53"/>
    </row>
    <row r="126" spans="1:20" s="12" customFormat="1" ht="58.7" customHeight="1">
      <c r="A126" s="78" t="s">
        <v>187</v>
      </c>
      <c r="B126" s="78" t="s">
        <v>320</v>
      </c>
      <c r="C126" s="78" t="s">
        <v>74</v>
      </c>
      <c r="D126" s="25" t="s">
        <v>188</v>
      </c>
      <c r="E126" s="30"/>
      <c r="F126" s="89">
        <f t="shared" si="21"/>
        <v>2405100</v>
      </c>
      <c r="G126" s="89">
        <f>1412600+410000+150000+85000+72500+100000+95000+25000+55000</f>
        <v>2405100</v>
      </c>
      <c r="H126" s="90">
        <f>1053000+340000+130000+85000+100000+95000</f>
        <v>1803000</v>
      </c>
      <c r="I126" s="90">
        <v>57500</v>
      </c>
      <c r="J126" s="90"/>
      <c r="K126" s="89">
        <f t="shared" si="40"/>
        <v>80000</v>
      </c>
      <c r="L126" s="89">
        <f>80000</f>
        <v>80000</v>
      </c>
      <c r="M126" s="90"/>
      <c r="N126" s="89"/>
      <c r="O126" s="90"/>
      <c r="P126" s="90">
        <f t="shared" si="41"/>
        <v>80000</v>
      </c>
      <c r="Q126" s="89">
        <f t="shared" si="39"/>
        <v>2485100</v>
      </c>
      <c r="R126" s="58"/>
      <c r="S126" s="58"/>
      <c r="T126" s="53"/>
    </row>
    <row r="127" spans="1:20" s="12" customFormat="1" ht="55.9" customHeight="1">
      <c r="A127" s="78" t="s">
        <v>189</v>
      </c>
      <c r="B127" s="78" t="s">
        <v>321</v>
      </c>
      <c r="C127" s="78" t="s">
        <v>74</v>
      </c>
      <c r="D127" s="25" t="s">
        <v>190</v>
      </c>
      <c r="E127" s="30"/>
      <c r="F127" s="89">
        <f t="shared" si="21"/>
        <v>611300</v>
      </c>
      <c r="G127" s="89">
        <f>631300-45000-34000-41000+100000</f>
        <v>611300</v>
      </c>
      <c r="H127" s="90"/>
      <c r="I127" s="90"/>
      <c r="J127" s="90"/>
      <c r="K127" s="89">
        <f t="shared" si="40"/>
        <v>150000</v>
      </c>
      <c r="L127" s="89">
        <f>30000+45000+34000+41000</f>
        <v>150000</v>
      </c>
      <c r="M127" s="90"/>
      <c r="N127" s="89"/>
      <c r="O127" s="90"/>
      <c r="P127" s="90">
        <f t="shared" si="41"/>
        <v>150000</v>
      </c>
      <c r="Q127" s="89">
        <f t="shared" si="39"/>
        <v>761300</v>
      </c>
      <c r="R127" s="58"/>
      <c r="S127" s="58"/>
      <c r="T127" s="53"/>
    </row>
    <row r="128" spans="1:20" s="12" customFormat="1" ht="63.75" hidden="1" customHeight="1">
      <c r="A128" s="78" t="s">
        <v>248</v>
      </c>
      <c r="B128" s="78" t="s">
        <v>281</v>
      </c>
      <c r="C128" s="78" t="s">
        <v>170</v>
      </c>
      <c r="D128" s="25" t="s">
        <v>265</v>
      </c>
      <c r="E128" s="30"/>
      <c r="F128" s="89">
        <f t="shared" si="21"/>
        <v>0</v>
      </c>
      <c r="G128" s="89"/>
      <c r="H128" s="90"/>
      <c r="I128" s="90"/>
      <c r="J128" s="90"/>
      <c r="K128" s="89">
        <f t="shared" si="40"/>
        <v>0</v>
      </c>
      <c r="L128" s="89"/>
      <c r="M128" s="90"/>
      <c r="N128" s="89"/>
      <c r="O128" s="90"/>
      <c r="P128" s="90"/>
      <c r="Q128" s="89">
        <f>F128+K128</f>
        <v>0</v>
      </c>
      <c r="R128" s="58"/>
      <c r="S128" s="58"/>
      <c r="T128" s="53"/>
    </row>
    <row r="129" spans="1:20" s="4" customFormat="1" ht="63.75" customHeight="1">
      <c r="A129" s="78" t="s">
        <v>352</v>
      </c>
      <c r="B129" s="78" t="s">
        <v>343</v>
      </c>
      <c r="C129" s="78" t="s">
        <v>344</v>
      </c>
      <c r="D129" s="25" t="s">
        <v>345</v>
      </c>
      <c r="E129" s="30"/>
      <c r="F129" s="89">
        <f t="shared" si="21"/>
        <v>356200</v>
      </c>
      <c r="G129" s="92">
        <f>286200+2500+20000+47500</f>
        <v>356200</v>
      </c>
      <c r="H129" s="93"/>
      <c r="I129" s="93"/>
      <c r="J129" s="93"/>
      <c r="K129" s="89">
        <f t="shared" si="40"/>
        <v>104000</v>
      </c>
      <c r="L129" s="92">
        <f>50000+20000-20000+54000</f>
        <v>104000</v>
      </c>
      <c r="M129" s="92"/>
      <c r="N129" s="92"/>
      <c r="O129" s="93"/>
      <c r="P129" s="93">
        <f>L129</f>
        <v>104000</v>
      </c>
      <c r="Q129" s="89">
        <f>F129+K129</f>
        <v>460200</v>
      </c>
      <c r="R129" s="57"/>
      <c r="S129" s="57"/>
      <c r="T129" s="56"/>
    </row>
    <row r="130" spans="1:20" s="4" customFormat="1" ht="93" customHeight="1">
      <c r="A130" s="78" t="s">
        <v>449</v>
      </c>
      <c r="B130" s="78" t="s">
        <v>285</v>
      </c>
      <c r="C130" s="78" t="s">
        <v>61</v>
      </c>
      <c r="D130" s="25" t="s">
        <v>215</v>
      </c>
      <c r="E130" s="30"/>
      <c r="F130" s="89">
        <f t="shared" si="21"/>
        <v>10800</v>
      </c>
      <c r="G130" s="92">
        <f>9600+1200</f>
        <v>10800</v>
      </c>
      <c r="H130" s="93"/>
      <c r="I130" s="93"/>
      <c r="J130" s="93"/>
      <c r="K130" s="89">
        <f t="shared" si="40"/>
        <v>0</v>
      </c>
      <c r="L130" s="92"/>
      <c r="M130" s="92"/>
      <c r="N130" s="92"/>
      <c r="O130" s="93"/>
      <c r="P130" s="93"/>
      <c r="Q130" s="89">
        <f>F130+K130</f>
        <v>10800</v>
      </c>
      <c r="R130" s="57"/>
      <c r="S130" s="57"/>
      <c r="T130" s="56"/>
    </row>
    <row r="131" spans="1:20" s="12" customFormat="1" ht="101.45" customHeight="1">
      <c r="A131" s="65" t="s">
        <v>119</v>
      </c>
      <c r="B131" s="65" t="s">
        <v>119</v>
      </c>
      <c r="C131" s="71"/>
      <c r="D131" s="70" t="s">
        <v>482</v>
      </c>
      <c r="E131" s="72"/>
      <c r="F131" s="111">
        <f t="shared" si="21"/>
        <v>27166008</v>
      </c>
      <c r="G131" s="68">
        <f t="shared" ref="G131:P131" si="42">G132</f>
        <v>27166008</v>
      </c>
      <c r="H131" s="68">
        <f t="shared" si="42"/>
        <v>15526350</v>
      </c>
      <c r="I131" s="73">
        <f t="shared" si="42"/>
        <v>2085400</v>
      </c>
      <c r="J131" s="68">
        <f t="shared" si="42"/>
        <v>0</v>
      </c>
      <c r="K131" s="68">
        <f t="shared" si="42"/>
        <v>552500</v>
      </c>
      <c r="L131" s="68">
        <f t="shared" si="42"/>
        <v>452100</v>
      </c>
      <c r="M131" s="68">
        <f t="shared" si="42"/>
        <v>100400</v>
      </c>
      <c r="N131" s="68">
        <f t="shared" si="42"/>
        <v>65000</v>
      </c>
      <c r="O131" s="68">
        <f t="shared" si="42"/>
        <v>0</v>
      </c>
      <c r="P131" s="68">
        <f t="shared" si="42"/>
        <v>452100</v>
      </c>
      <c r="Q131" s="68">
        <f t="shared" si="39"/>
        <v>27718508</v>
      </c>
      <c r="R131" s="54"/>
      <c r="S131" s="58"/>
      <c r="T131" s="53"/>
    </row>
    <row r="132" spans="1:20" s="12" customFormat="1" ht="53.1" customHeight="1">
      <c r="A132" s="82" t="s">
        <v>120</v>
      </c>
      <c r="B132" s="82" t="s">
        <v>120</v>
      </c>
      <c r="C132" s="78"/>
      <c r="D132" s="31" t="str">
        <f>D131</f>
        <v>Відділ з питань фізичної культури та спорту міської ради</v>
      </c>
      <c r="E132" s="29"/>
      <c r="F132" s="89">
        <f t="shared" si="21"/>
        <v>27166008</v>
      </c>
      <c r="G132" s="89">
        <f t="shared" ref="G132:P132" si="43">SUM(G133:G143)</f>
        <v>27166008</v>
      </c>
      <c r="H132" s="89">
        <f t="shared" si="43"/>
        <v>15526350</v>
      </c>
      <c r="I132" s="89">
        <f t="shared" si="43"/>
        <v>2085400</v>
      </c>
      <c r="J132" s="89">
        <f t="shared" si="43"/>
        <v>0</v>
      </c>
      <c r="K132" s="89">
        <f t="shared" si="43"/>
        <v>552500</v>
      </c>
      <c r="L132" s="89">
        <f t="shared" si="43"/>
        <v>452100</v>
      </c>
      <c r="M132" s="89">
        <f t="shared" si="43"/>
        <v>100400</v>
      </c>
      <c r="N132" s="89">
        <f t="shared" si="43"/>
        <v>65000</v>
      </c>
      <c r="O132" s="89">
        <f t="shared" si="43"/>
        <v>0</v>
      </c>
      <c r="P132" s="89">
        <f t="shared" si="43"/>
        <v>452100</v>
      </c>
      <c r="Q132" s="89">
        <f t="shared" si="39"/>
        <v>27718508</v>
      </c>
      <c r="R132" s="58"/>
      <c r="S132" s="58"/>
      <c r="T132" s="53"/>
    </row>
    <row r="133" spans="1:20" s="12" customFormat="1" ht="85.15" customHeight="1">
      <c r="A133" s="78" t="s">
        <v>121</v>
      </c>
      <c r="B133" s="78" t="s">
        <v>268</v>
      </c>
      <c r="C133" s="78" t="s">
        <v>53</v>
      </c>
      <c r="D133" s="33" t="s">
        <v>405</v>
      </c>
      <c r="E133" s="30"/>
      <c r="F133" s="89">
        <f t="shared" ref="F133:F186" si="44">G133+J133</f>
        <v>2579900</v>
      </c>
      <c r="G133" s="89">
        <f>1762900+500000+305000+12000</f>
        <v>2579900</v>
      </c>
      <c r="H133" s="90">
        <f>1402200+410000+250000</f>
        <v>2062200</v>
      </c>
      <c r="I133" s="90">
        <f>37700+12000</f>
        <v>49700</v>
      </c>
      <c r="J133" s="90"/>
      <c r="K133" s="89">
        <f>M133+P133</f>
        <v>90000</v>
      </c>
      <c r="L133" s="89">
        <f>90000</f>
        <v>90000</v>
      </c>
      <c r="M133" s="90"/>
      <c r="N133" s="89"/>
      <c r="O133" s="90"/>
      <c r="P133" s="90">
        <f t="shared" ref="P133:P142" si="45">L133</f>
        <v>90000</v>
      </c>
      <c r="Q133" s="89">
        <f t="shared" si="39"/>
        <v>2669900</v>
      </c>
      <c r="R133" s="58"/>
      <c r="S133" s="58"/>
      <c r="T133" s="53"/>
    </row>
    <row r="134" spans="1:20" s="12" customFormat="1" ht="54.75" customHeight="1">
      <c r="A134" s="78" t="s">
        <v>242</v>
      </c>
      <c r="B134" s="78" t="s">
        <v>225</v>
      </c>
      <c r="C134" s="80" t="s">
        <v>62</v>
      </c>
      <c r="D134" s="42" t="s">
        <v>109</v>
      </c>
      <c r="E134" s="30"/>
      <c r="F134" s="89">
        <f t="shared" si="44"/>
        <v>18000</v>
      </c>
      <c r="G134" s="89">
        <f>90000-30000-23000-10000-9000</f>
        <v>18000</v>
      </c>
      <c r="H134" s="90"/>
      <c r="I134" s="90"/>
      <c r="J134" s="90"/>
      <c r="K134" s="89">
        <f>M134+P134</f>
        <v>0</v>
      </c>
      <c r="L134" s="89"/>
      <c r="M134" s="90"/>
      <c r="N134" s="89"/>
      <c r="O134" s="90"/>
      <c r="P134" s="90">
        <f t="shared" si="45"/>
        <v>0</v>
      </c>
      <c r="Q134" s="89">
        <f t="shared" si="39"/>
        <v>18000</v>
      </c>
      <c r="R134" s="58"/>
      <c r="S134" s="58"/>
      <c r="T134" s="53"/>
    </row>
    <row r="135" spans="1:20" s="12" customFormat="1" ht="59.1" customHeight="1">
      <c r="A135" s="78" t="s">
        <v>167</v>
      </c>
      <c r="B135" s="78" t="s">
        <v>322</v>
      </c>
      <c r="C135" s="78" t="s">
        <v>67</v>
      </c>
      <c r="D135" s="25" t="s">
        <v>80</v>
      </c>
      <c r="E135" s="30"/>
      <c r="F135" s="89">
        <f t="shared" si="44"/>
        <v>1110114</v>
      </c>
      <c r="G135" s="89">
        <f>910400+8000+33000+100000-228000+120000+16714+120000+30000</f>
        <v>1110114</v>
      </c>
      <c r="H135" s="90"/>
      <c r="I135" s="90"/>
      <c r="J135" s="90"/>
      <c r="K135" s="89">
        <f t="shared" ref="K135:K143" si="46">M135+P135</f>
        <v>0</v>
      </c>
      <c r="L135" s="89">
        <f>15000-15000</f>
        <v>0</v>
      </c>
      <c r="M135" s="90"/>
      <c r="N135" s="89"/>
      <c r="O135" s="90"/>
      <c r="P135" s="90">
        <f t="shared" si="45"/>
        <v>0</v>
      </c>
      <c r="Q135" s="89">
        <f t="shared" si="39"/>
        <v>1110114</v>
      </c>
      <c r="R135" s="58"/>
      <c r="S135" s="58"/>
      <c r="T135" s="53"/>
    </row>
    <row r="136" spans="1:20" s="12" customFormat="1" ht="56.45" customHeight="1">
      <c r="A136" s="78" t="s">
        <v>122</v>
      </c>
      <c r="B136" s="78" t="s">
        <v>323</v>
      </c>
      <c r="C136" s="78" t="s">
        <v>67</v>
      </c>
      <c r="D136" s="25" t="s">
        <v>81</v>
      </c>
      <c r="E136" s="30"/>
      <c r="F136" s="89">
        <f t="shared" si="44"/>
        <v>848000</v>
      </c>
      <c r="G136" s="89">
        <f>241000+7000+55000+30000+95000+50000+245000+120000+60000-25000-30000</f>
        <v>848000</v>
      </c>
      <c r="H136" s="90"/>
      <c r="I136" s="90"/>
      <c r="J136" s="90"/>
      <c r="K136" s="89">
        <f t="shared" si="46"/>
        <v>0</v>
      </c>
      <c r="L136" s="89"/>
      <c r="M136" s="90"/>
      <c r="N136" s="89"/>
      <c r="O136" s="90"/>
      <c r="P136" s="90">
        <f t="shared" si="45"/>
        <v>0</v>
      </c>
      <c r="Q136" s="89">
        <f t="shared" si="39"/>
        <v>848000</v>
      </c>
      <c r="R136" s="58"/>
      <c r="S136" s="58"/>
      <c r="T136" s="53"/>
    </row>
    <row r="137" spans="1:20" s="12" customFormat="1" ht="83.25" customHeight="1">
      <c r="A137" s="78" t="s">
        <v>369</v>
      </c>
      <c r="B137" s="78" t="s">
        <v>287</v>
      </c>
      <c r="C137" s="81" t="s">
        <v>67</v>
      </c>
      <c r="D137" s="128" t="s">
        <v>455</v>
      </c>
      <c r="E137" s="30"/>
      <c r="F137" s="89">
        <f t="shared" si="44"/>
        <v>14043136</v>
      </c>
      <c r="G137" s="89">
        <f>12284500+1200000+25000+100000+718950+15000-50000-40000+44900-20000-240000+4786</f>
        <v>14043136</v>
      </c>
      <c r="H137" s="90">
        <f>8911100+1000000+618950-25000</f>
        <v>10505050</v>
      </c>
      <c r="I137" s="90">
        <f>1407500-90000-20000-240000</f>
        <v>1057500</v>
      </c>
      <c r="J137" s="90"/>
      <c r="K137" s="89">
        <f t="shared" si="46"/>
        <v>62100</v>
      </c>
      <c r="L137" s="89">
        <f>52000-14900+25000</f>
        <v>62100</v>
      </c>
      <c r="M137" s="90"/>
      <c r="N137" s="89"/>
      <c r="O137" s="90"/>
      <c r="P137" s="90">
        <f t="shared" si="45"/>
        <v>62100</v>
      </c>
      <c r="Q137" s="89">
        <f t="shared" si="39"/>
        <v>14105236</v>
      </c>
      <c r="R137" s="58"/>
      <c r="S137" s="58"/>
      <c r="T137" s="53"/>
    </row>
    <row r="138" spans="1:20" s="12" customFormat="1" ht="83.1" customHeight="1">
      <c r="A138" s="78" t="s">
        <v>124</v>
      </c>
      <c r="B138" s="78" t="s">
        <v>324</v>
      </c>
      <c r="C138" s="78" t="s">
        <v>67</v>
      </c>
      <c r="D138" s="25" t="s">
        <v>82</v>
      </c>
      <c r="E138" s="30"/>
      <c r="F138" s="89">
        <f t="shared" si="44"/>
        <v>3433300</v>
      </c>
      <c r="G138" s="95">
        <f>3003300+450000+100000-120000</f>
        <v>3433300</v>
      </c>
      <c r="H138" s="95"/>
      <c r="I138" s="95"/>
      <c r="J138" s="90"/>
      <c r="K138" s="89">
        <f t="shared" si="46"/>
        <v>0</v>
      </c>
      <c r="L138" s="89"/>
      <c r="M138" s="90"/>
      <c r="N138" s="89"/>
      <c r="O138" s="90"/>
      <c r="P138" s="90">
        <f t="shared" si="45"/>
        <v>0</v>
      </c>
      <c r="Q138" s="89">
        <f t="shared" si="39"/>
        <v>3433300</v>
      </c>
      <c r="R138" s="58"/>
      <c r="S138" s="58"/>
      <c r="T138" s="53"/>
    </row>
    <row r="139" spans="1:20" s="12" customFormat="1" ht="69.75" customHeight="1">
      <c r="A139" s="78" t="s">
        <v>432</v>
      </c>
      <c r="B139" s="78" t="s">
        <v>433</v>
      </c>
      <c r="C139" s="78" t="s">
        <v>67</v>
      </c>
      <c r="D139" s="25" t="s">
        <v>508</v>
      </c>
      <c r="E139" s="30"/>
      <c r="F139" s="89">
        <f t="shared" si="44"/>
        <v>105408</v>
      </c>
      <c r="G139" s="95">
        <f>35136+79056-8784</f>
        <v>105408</v>
      </c>
      <c r="H139" s="95">
        <f>28800+64800-7200</f>
        <v>86400</v>
      </c>
      <c r="I139" s="95"/>
      <c r="J139" s="90"/>
      <c r="K139" s="89">
        <f t="shared" si="46"/>
        <v>0</v>
      </c>
      <c r="L139" s="89"/>
      <c r="M139" s="90"/>
      <c r="N139" s="89"/>
      <c r="O139" s="90"/>
      <c r="P139" s="90"/>
      <c r="Q139" s="89">
        <f t="shared" si="39"/>
        <v>105408</v>
      </c>
      <c r="R139" s="58"/>
      <c r="S139" s="58"/>
      <c r="T139" s="53"/>
    </row>
    <row r="140" spans="1:20" s="12" customFormat="1" ht="108" customHeight="1">
      <c r="A140" s="78" t="s">
        <v>123</v>
      </c>
      <c r="B140" s="78" t="s">
        <v>325</v>
      </c>
      <c r="C140" s="78" t="s">
        <v>67</v>
      </c>
      <c r="D140" s="25" t="s">
        <v>240</v>
      </c>
      <c r="E140" s="44"/>
      <c r="F140" s="89">
        <f t="shared" si="44"/>
        <v>4988150</v>
      </c>
      <c r="G140" s="89">
        <f>3653550+300000+35000+81000+83000+24000+25000+27000+30000+100000+35000+58000+607600+23000-94000</f>
        <v>4988150</v>
      </c>
      <c r="H140" s="90">
        <f>2053300+255000+90000+474400</f>
        <v>2872700</v>
      </c>
      <c r="I140" s="90">
        <f>1081700-9500-94000</f>
        <v>978200</v>
      </c>
      <c r="J140" s="90"/>
      <c r="K140" s="89">
        <f t="shared" si="46"/>
        <v>100400</v>
      </c>
      <c r="L140" s="89"/>
      <c r="M140" s="90">
        <v>100400</v>
      </c>
      <c r="N140" s="89">
        <v>65000</v>
      </c>
      <c r="O140" s="90"/>
      <c r="P140" s="90">
        <f t="shared" si="45"/>
        <v>0</v>
      </c>
      <c r="Q140" s="89">
        <f>F140+K140</f>
        <v>5088550</v>
      </c>
      <c r="R140" s="58"/>
      <c r="S140" s="58"/>
      <c r="T140" s="53"/>
    </row>
    <row r="141" spans="1:20" s="12" customFormat="1" ht="48.75" hidden="1" customHeight="1">
      <c r="A141" s="78" t="s">
        <v>227</v>
      </c>
      <c r="B141" s="78" t="s">
        <v>281</v>
      </c>
      <c r="C141" s="78" t="s">
        <v>170</v>
      </c>
      <c r="D141" s="25" t="s">
        <v>224</v>
      </c>
      <c r="E141" s="44"/>
      <c r="F141" s="89">
        <f t="shared" si="44"/>
        <v>0</v>
      </c>
      <c r="G141" s="89"/>
      <c r="H141" s="90"/>
      <c r="I141" s="90"/>
      <c r="J141" s="90"/>
      <c r="K141" s="89">
        <f t="shared" si="46"/>
        <v>0</v>
      </c>
      <c r="L141" s="89"/>
      <c r="M141" s="90"/>
      <c r="N141" s="89"/>
      <c r="O141" s="90"/>
      <c r="P141" s="90">
        <f t="shared" si="45"/>
        <v>0</v>
      </c>
      <c r="Q141" s="89">
        <f t="shared" ref="Q141:Q142" si="47">F141+K141</f>
        <v>0</v>
      </c>
      <c r="R141" s="58"/>
      <c r="S141" s="58"/>
      <c r="T141" s="53"/>
    </row>
    <row r="142" spans="1:20" s="12" customFormat="1" ht="108.75" customHeight="1">
      <c r="A142" s="78" t="s">
        <v>531</v>
      </c>
      <c r="B142" s="78" t="s">
        <v>532</v>
      </c>
      <c r="C142" s="78" t="s">
        <v>67</v>
      </c>
      <c r="D142" s="25" t="s">
        <v>533</v>
      </c>
      <c r="E142" s="44"/>
      <c r="F142" s="89">
        <f t="shared" si="44"/>
        <v>0</v>
      </c>
      <c r="G142" s="89"/>
      <c r="H142" s="90"/>
      <c r="I142" s="90"/>
      <c r="J142" s="90"/>
      <c r="K142" s="89">
        <f t="shared" si="46"/>
        <v>300000</v>
      </c>
      <c r="L142" s="89">
        <v>300000</v>
      </c>
      <c r="M142" s="90"/>
      <c r="N142" s="89"/>
      <c r="O142" s="90"/>
      <c r="P142" s="90">
        <f t="shared" si="45"/>
        <v>300000</v>
      </c>
      <c r="Q142" s="89">
        <f t="shared" si="47"/>
        <v>300000</v>
      </c>
      <c r="R142" s="58"/>
      <c r="S142" s="58"/>
      <c r="T142" s="53"/>
    </row>
    <row r="143" spans="1:20" s="4" customFormat="1" ht="66.2" customHeight="1">
      <c r="A143" s="78" t="s">
        <v>353</v>
      </c>
      <c r="B143" s="78" t="s">
        <v>343</v>
      </c>
      <c r="C143" s="78" t="s">
        <v>344</v>
      </c>
      <c r="D143" s="25" t="s">
        <v>345</v>
      </c>
      <c r="E143" s="44"/>
      <c r="F143" s="89">
        <f t="shared" si="44"/>
        <v>40000</v>
      </c>
      <c r="G143" s="89">
        <f>40000</f>
        <v>40000</v>
      </c>
      <c r="H143" s="90"/>
      <c r="I143" s="90"/>
      <c r="J143" s="90"/>
      <c r="K143" s="89">
        <f t="shared" si="46"/>
        <v>0</v>
      </c>
      <c r="L143" s="89"/>
      <c r="M143" s="89"/>
      <c r="N143" s="89"/>
      <c r="O143" s="90"/>
      <c r="P143" s="90">
        <f t="shared" ref="P143" si="48">L143</f>
        <v>0</v>
      </c>
      <c r="Q143" s="89">
        <f>F143+K143</f>
        <v>40000</v>
      </c>
      <c r="R143" s="57"/>
      <c r="S143" s="57"/>
      <c r="T143" s="56"/>
    </row>
    <row r="144" spans="1:20" s="12" customFormat="1" ht="96" customHeight="1">
      <c r="A144" s="65" t="s">
        <v>153</v>
      </c>
      <c r="B144" s="65" t="s">
        <v>153</v>
      </c>
      <c r="C144" s="65"/>
      <c r="D144" s="70" t="s">
        <v>30</v>
      </c>
      <c r="E144" s="74" t="s">
        <v>30</v>
      </c>
      <c r="F144" s="111">
        <f t="shared" si="44"/>
        <v>133508257</v>
      </c>
      <c r="G144" s="68">
        <f>G145</f>
        <v>102871830</v>
      </c>
      <c r="H144" s="68">
        <f>H145</f>
        <v>8598000</v>
      </c>
      <c r="I144" s="68">
        <f>I145</f>
        <v>8372800</v>
      </c>
      <c r="J144" s="68">
        <f t="shared" ref="J144:P144" si="49">J145</f>
        <v>30636427</v>
      </c>
      <c r="K144" s="68">
        <f t="shared" si="49"/>
        <v>36008651.160000004</v>
      </c>
      <c r="L144" s="68">
        <f t="shared" si="49"/>
        <v>24395068</v>
      </c>
      <c r="M144" s="68">
        <f t="shared" si="49"/>
        <v>934282.19</v>
      </c>
      <c r="N144" s="68">
        <f t="shared" si="49"/>
        <v>0</v>
      </c>
      <c r="O144" s="68">
        <f t="shared" si="49"/>
        <v>0</v>
      </c>
      <c r="P144" s="68">
        <f t="shared" si="49"/>
        <v>35074368.969999999</v>
      </c>
      <c r="Q144" s="68">
        <f t="shared" si="39"/>
        <v>169516908.16</v>
      </c>
      <c r="R144" s="58"/>
      <c r="S144" s="58"/>
      <c r="T144" s="53"/>
    </row>
    <row r="145" spans="1:20" s="13" customFormat="1" ht="80.099999999999994" customHeight="1">
      <c r="A145" s="86" t="s">
        <v>154</v>
      </c>
      <c r="B145" s="86" t="s">
        <v>154</v>
      </c>
      <c r="C145" s="85"/>
      <c r="D145" s="102" t="str">
        <f>D144</f>
        <v>Управління житлово-комунального господарства та будівництва міської ради</v>
      </c>
      <c r="E145" s="32"/>
      <c r="F145" s="89">
        <f t="shared" si="44"/>
        <v>133508257</v>
      </c>
      <c r="G145" s="96">
        <f>SUM(G146:G175)</f>
        <v>102871830</v>
      </c>
      <c r="H145" s="96">
        <f>SUM(H146:H175)</f>
        <v>8598000</v>
      </c>
      <c r="I145" s="96">
        <f>SUM(I146:I175)</f>
        <v>8372800</v>
      </c>
      <c r="J145" s="96">
        <f>SUM(J146:J175)</f>
        <v>30636427</v>
      </c>
      <c r="K145" s="96">
        <f t="shared" ref="K145:P145" si="50">SUM(K146:K175)</f>
        <v>36008651.160000004</v>
      </c>
      <c r="L145" s="96">
        <f t="shared" si="50"/>
        <v>24395068</v>
      </c>
      <c r="M145" s="96">
        <f t="shared" si="50"/>
        <v>934282.19</v>
      </c>
      <c r="N145" s="96">
        <f t="shared" si="50"/>
        <v>0</v>
      </c>
      <c r="O145" s="96">
        <f t="shared" si="50"/>
        <v>0</v>
      </c>
      <c r="P145" s="96">
        <f t="shared" si="50"/>
        <v>35074368.969999999</v>
      </c>
      <c r="Q145" s="89">
        <f t="shared" si="39"/>
        <v>169516908.16</v>
      </c>
      <c r="R145" s="59"/>
      <c r="S145" s="59"/>
      <c r="T145" s="60"/>
    </row>
    <row r="146" spans="1:20" s="4" customFormat="1" ht="84.2" customHeight="1">
      <c r="A146" s="78" t="s">
        <v>155</v>
      </c>
      <c r="B146" s="78" t="s">
        <v>268</v>
      </c>
      <c r="C146" s="78" t="s">
        <v>53</v>
      </c>
      <c r="D146" s="33" t="s">
        <v>375</v>
      </c>
      <c r="E146" s="30" t="s">
        <v>2</v>
      </c>
      <c r="F146" s="89">
        <f t="shared" si="44"/>
        <v>11065600</v>
      </c>
      <c r="G146" s="89">
        <v>11065600</v>
      </c>
      <c r="H146" s="90">
        <f>8400000+198000</f>
        <v>8598000</v>
      </c>
      <c r="I146" s="90">
        <v>360800</v>
      </c>
      <c r="J146" s="90"/>
      <c r="K146" s="89">
        <f t="shared" ref="K146:K175" si="51">M146+P146</f>
        <v>339000</v>
      </c>
      <c r="L146" s="89">
        <f>99000</f>
        <v>99000</v>
      </c>
      <c r="M146" s="97">
        <v>165000</v>
      </c>
      <c r="N146" s="89"/>
      <c r="O146" s="90"/>
      <c r="P146" s="90">
        <f>75000+99000</f>
        <v>174000</v>
      </c>
      <c r="Q146" s="89">
        <f t="shared" si="39"/>
        <v>11404600</v>
      </c>
      <c r="R146" s="57"/>
      <c r="S146" s="57"/>
      <c r="T146" s="56"/>
    </row>
    <row r="147" spans="1:20" s="4" customFormat="1" ht="51.6" customHeight="1">
      <c r="A147" s="78" t="s">
        <v>226</v>
      </c>
      <c r="B147" s="78" t="s">
        <v>225</v>
      </c>
      <c r="C147" s="78" t="s">
        <v>62</v>
      </c>
      <c r="D147" s="33" t="s">
        <v>109</v>
      </c>
      <c r="E147" s="30"/>
      <c r="F147" s="89">
        <f t="shared" si="44"/>
        <v>170000</v>
      </c>
      <c r="G147" s="89">
        <f>90000+10000+70000</f>
        <v>170000</v>
      </c>
      <c r="H147" s="90"/>
      <c r="I147" s="90"/>
      <c r="J147" s="90"/>
      <c r="K147" s="89">
        <f t="shared" si="51"/>
        <v>0</v>
      </c>
      <c r="L147" s="89">
        <f>400000-400000</f>
        <v>0</v>
      </c>
      <c r="M147" s="90"/>
      <c r="N147" s="89"/>
      <c r="O147" s="90"/>
      <c r="P147" s="90">
        <f>L147</f>
        <v>0</v>
      </c>
      <c r="Q147" s="89">
        <f t="shared" si="39"/>
        <v>170000</v>
      </c>
      <c r="R147" s="57"/>
      <c r="S147" s="57"/>
      <c r="T147" s="56"/>
    </row>
    <row r="148" spans="1:20" s="4" customFormat="1" ht="67.349999999999994" customHeight="1">
      <c r="A148" s="78" t="s">
        <v>445</v>
      </c>
      <c r="B148" s="78" t="s">
        <v>441</v>
      </c>
      <c r="C148" s="78" t="s">
        <v>66</v>
      </c>
      <c r="D148" s="25" t="s">
        <v>446</v>
      </c>
      <c r="E148" s="30"/>
      <c r="F148" s="89">
        <f t="shared" si="44"/>
        <v>0</v>
      </c>
      <c r="G148" s="89"/>
      <c r="H148" s="90"/>
      <c r="I148" s="90"/>
      <c r="J148" s="90"/>
      <c r="K148" s="89">
        <f t="shared" si="51"/>
        <v>202000</v>
      </c>
      <c r="L148" s="89">
        <f>900000+2000+300000-1000000</f>
        <v>202000</v>
      </c>
      <c r="M148" s="90"/>
      <c r="N148" s="89"/>
      <c r="O148" s="90"/>
      <c r="P148" s="90">
        <f t="shared" ref="P148:P154" si="52">L148</f>
        <v>202000</v>
      </c>
      <c r="Q148" s="89">
        <f t="shared" si="39"/>
        <v>202000</v>
      </c>
      <c r="R148" s="57"/>
      <c r="S148" s="57"/>
      <c r="T148" s="56"/>
    </row>
    <row r="149" spans="1:20" s="4" customFormat="1" ht="67.349999999999994" customHeight="1">
      <c r="A149" s="78" t="s">
        <v>534</v>
      </c>
      <c r="B149" s="78" t="s">
        <v>269</v>
      </c>
      <c r="C149" s="79" t="s">
        <v>54</v>
      </c>
      <c r="D149" s="34" t="s">
        <v>78</v>
      </c>
      <c r="E149" s="30"/>
      <c r="F149" s="89">
        <f t="shared" si="44"/>
        <v>0</v>
      </c>
      <c r="G149" s="89"/>
      <c r="H149" s="90"/>
      <c r="I149" s="90"/>
      <c r="J149" s="90"/>
      <c r="K149" s="89">
        <f t="shared" si="51"/>
        <v>2000000</v>
      </c>
      <c r="L149" s="89">
        <v>2000000</v>
      </c>
      <c r="M149" s="90"/>
      <c r="N149" s="89"/>
      <c r="O149" s="90"/>
      <c r="P149" s="90">
        <f>L149</f>
        <v>2000000</v>
      </c>
      <c r="Q149" s="89">
        <f t="shared" si="39"/>
        <v>2000000</v>
      </c>
      <c r="R149" s="57"/>
      <c r="S149" s="57"/>
      <c r="T149" s="56"/>
    </row>
    <row r="150" spans="1:20" s="4" customFormat="1" ht="65.25" customHeight="1">
      <c r="A150" s="78" t="s">
        <v>245</v>
      </c>
      <c r="B150" s="78" t="s">
        <v>315</v>
      </c>
      <c r="C150" s="78" t="s">
        <v>244</v>
      </c>
      <c r="D150" s="25" t="s">
        <v>243</v>
      </c>
      <c r="E150" s="30"/>
      <c r="F150" s="89">
        <f t="shared" si="44"/>
        <v>240000</v>
      </c>
      <c r="G150" s="89">
        <v>240000</v>
      </c>
      <c r="H150" s="90"/>
      <c r="I150" s="90"/>
      <c r="J150" s="90"/>
      <c r="K150" s="89">
        <f t="shared" si="51"/>
        <v>0</v>
      </c>
      <c r="L150" s="89"/>
      <c r="M150" s="90"/>
      <c r="N150" s="89"/>
      <c r="O150" s="90"/>
      <c r="P150" s="90">
        <f t="shared" si="52"/>
        <v>0</v>
      </c>
      <c r="Q150" s="89">
        <f t="shared" si="39"/>
        <v>240000</v>
      </c>
      <c r="R150" s="57"/>
      <c r="S150" s="57"/>
      <c r="T150" s="56"/>
    </row>
    <row r="151" spans="1:20" s="4" customFormat="1" ht="83.25" hidden="1" customHeight="1">
      <c r="A151" s="78" t="s">
        <v>255</v>
      </c>
      <c r="B151" s="78" t="s">
        <v>326</v>
      </c>
      <c r="C151" s="78" t="s">
        <v>67</v>
      </c>
      <c r="D151" s="25" t="s">
        <v>256</v>
      </c>
      <c r="E151" s="30"/>
      <c r="F151" s="89">
        <f t="shared" si="44"/>
        <v>0</v>
      </c>
      <c r="G151" s="89"/>
      <c r="H151" s="90"/>
      <c r="I151" s="90"/>
      <c r="J151" s="90"/>
      <c r="K151" s="89">
        <f t="shared" si="51"/>
        <v>0</v>
      </c>
      <c r="L151" s="89"/>
      <c r="M151" s="90"/>
      <c r="N151" s="89"/>
      <c r="O151" s="90"/>
      <c r="P151" s="90">
        <f t="shared" si="52"/>
        <v>0</v>
      </c>
      <c r="Q151" s="89">
        <f t="shared" si="39"/>
        <v>0</v>
      </c>
      <c r="R151" s="57"/>
      <c r="S151" s="57"/>
      <c r="T151" s="56"/>
    </row>
    <row r="152" spans="1:20" s="11" customFormat="1" ht="83.25" hidden="1" customHeight="1">
      <c r="A152" s="78" t="s">
        <v>156</v>
      </c>
      <c r="B152" s="78" t="s">
        <v>327</v>
      </c>
      <c r="C152" s="78" t="s">
        <v>59</v>
      </c>
      <c r="D152" s="25" t="s">
        <v>230</v>
      </c>
      <c r="E152" s="45" t="s">
        <v>40</v>
      </c>
      <c r="F152" s="89">
        <f t="shared" si="44"/>
        <v>0</v>
      </c>
      <c r="G152" s="89"/>
      <c r="H152" s="90"/>
      <c r="I152" s="90"/>
      <c r="J152" s="90"/>
      <c r="K152" s="89">
        <f t="shared" si="51"/>
        <v>0</v>
      </c>
      <c r="L152" s="89"/>
      <c r="M152" s="90"/>
      <c r="N152" s="89"/>
      <c r="O152" s="90"/>
      <c r="P152" s="90">
        <f t="shared" si="52"/>
        <v>0</v>
      </c>
      <c r="Q152" s="89">
        <f t="shared" si="39"/>
        <v>0</v>
      </c>
      <c r="R152" s="55"/>
      <c r="S152" s="55"/>
      <c r="T152" s="56"/>
    </row>
    <row r="153" spans="1:20" s="4" customFormat="1" ht="83.25" hidden="1" customHeight="1">
      <c r="A153" s="64">
        <v>1216011</v>
      </c>
      <c r="B153" s="78" t="s">
        <v>328</v>
      </c>
      <c r="C153" s="78" t="s">
        <v>59</v>
      </c>
      <c r="D153" s="35" t="s">
        <v>208</v>
      </c>
      <c r="E153" s="30"/>
      <c r="F153" s="89">
        <f t="shared" si="44"/>
        <v>0</v>
      </c>
      <c r="G153" s="89"/>
      <c r="H153" s="90"/>
      <c r="I153" s="90"/>
      <c r="J153" s="90"/>
      <c r="K153" s="89">
        <f t="shared" si="51"/>
        <v>0</v>
      </c>
      <c r="L153" s="89"/>
      <c r="M153" s="90"/>
      <c r="N153" s="89"/>
      <c r="O153" s="90"/>
      <c r="P153" s="90">
        <f t="shared" si="52"/>
        <v>0</v>
      </c>
      <c r="Q153" s="89">
        <f t="shared" si="39"/>
        <v>0</v>
      </c>
      <c r="R153" s="57"/>
      <c r="S153" s="57"/>
      <c r="T153" s="56"/>
    </row>
    <row r="154" spans="1:20" s="4" customFormat="1" ht="83.25" customHeight="1">
      <c r="A154" s="64">
        <v>1213250</v>
      </c>
      <c r="B154" s="78" t="s">
        <v>486</v>
      </c>
      <c r="C154" s="78" t="s">
        <v>57</v>
      </c>
      <c r="D154" s="35" t="s">
        <v>539</v>
      </c>
      <c r="E154" s="30"/>
      <c r="F154" s="89">
        <f t="shared" si="44"/>
        <v>0</v>
      </c>
      <c r="G154" s="89"/>
      <c r="H154" s="90"/>
      <c r="I154" s="90"/>
      <c r="J154" s="90"/>
      <c r="K154" s="89">
        <f t="shared" si="51"/>
        <v>680000</v>
      </c>
      <c r="L154" s="89">
        <v>680000</v>
      </c>
      <c r="M154" s="90"/>
      <c r="N154" s="89"/>
      <c r="O154" s="90"/>
      <c r="P154" s="90">
        <f t="shared" si="52"/>
        <v>680000</v>
      </c>
      <c r="Q154" s="89">
        <f t="shared" si="39"/>
        <v>680000</v>
      </c>
      <c r="R154" s="57"/>
      <c r="S154" s="57"/>
      <c r="T154" s="56"/>
    </row>
    <row r="155" spans="1:20" s="4" customFormat="1" ht="62.25" customHeight="1">
      <c r="A155" s="64">
        <v>1216011</v>
      </c>
      <c r="B155" s="78" t="s">
        <v>328</v>
      </c>
      <c r="C155" s="78" t="s">
        <v>246</v>
      </c>
      <c r="D155" s="35" t="s">
        <v>368</v>
      </c>
      <c r="E155" s="30"/>
      <c r="F155" s="89">
        <f t="shared" si="44"/>
        <v>0</v>
      </c>
      <c r="G155" s="89"/>
      <c r="H155" s="90"/>
      <c r="I155" s="90"/>
      <c r="J155" s="90"/>
      <c r="K155" s="89">
        <f t="shared" si="51"/>
        <v>60000</v>
      </c>
      <c r="L155" s="89">
        <f>750000-690000</f>
        <v>60000</v>
      </c>
      <c r="M155" s="90"/>
      <c r="N155" s="89"/>
      <c r="O155" s="90"/>
      <c r="P155" s="90">
        <f>L155</f>
        <v>60000</v>
      </c>
      <c r="Q155" s="89">
        <f t="shared" si="39"/>
        <v>60000</v>
      </c>
      <c r="R155" s="57"/>
      <c r="S155" s="57"/>
      <c r="T155" s="56"/>
    </row>
    <row r="156" spans="1:20" s="4" customFormat="1" ht="50.25" customHeight="1">
      <c r="A156" s="64">
        <v>1216013</v>
      </c>
      <c r="B156" s="78" t="s">
        <v>329</v>
      </c>
      <c r="C156" s="78" t="s">
        <v>59</v>
      </c>
      <c r="D156" s="35" t="s">
        <v>216</v>
      </c>
      <c r="E156" s="30"/>
      <c r="F156" s="89">
        <f t="shared" si="44"/>
        <v>0</v>
      </c>
      <c r="G156" s="89">
        <v>0</v>
      </c>
      <c r="H156" s="90"/>
      <c r="I156" s="90"/>
      <c r="J156" s="90">
        <f>300000-300000</f>
        <v>0</v>
      </c>
      <c r="K156" s="89">
        <f t="shared" si="51"/>
        <v>0</v>
      </c>
      <c r="L156" s="89"/>
      <c r="M156" s="90"/>
      <c r="N156" s="89"/>
      <c r="O156" s="90"/>
      <c r="P156" s="90">
        <f>L156</f>
        <v>0</v>
      </c>
      <c r="Q156" s="89">
        <f t="shared" si="39"/>
        <v>0</v>
      </c>
      <c r="R156" s="57"/>
      <c r="S156" s="57"/>
      <c r="T156" s="56"/>
    </row>
    <row r="157" spans="1:20" s="4" customFormat="1" ht="106.5" customHeight="1">
      <c r="A157" s="64">
        <v>1216020</v>
      </c>
      <c r="B157" s="78" t="s">
        <v>490</v>
      </c>
      <c r="C157" s="78" t="s">
        <v>59</v>
      </c>
      <c r="D157" s="35" t="s">
        <v>491</v>
      </c>
      <c r="E157" s="30"/>
      <c r="F157" s="89">
        <f t="shared" si="44"/>
        <v>5898353</v>
      </c>
      <c r="G157" s="89">
        <v>0</v>
      </c>
      <c r="H157" s="90"/>
      <c r="I157" s="90"/>
      <c r="J157" s="90">
        <f>562000+400000+120000+125000+260000+150000+480000+380000+300000+360000-300000+100000+611353+500000+1850000</f>
        <v>5898353</v>
      </c>
      <c r="K157" s="89">
        <f t="shared" si="51"/>
        <v>0</v>
      </c>
      <c r="L157" s="89"/>
      <c r="M157" s="90"/>
      <c r="N157" s="89"/>
      <c r="O157" s="90"/>
      <c r="P157" s="90">
        <f>L157</f>
        <v>0</v>
      </c>
      <c r="Q157" s="89">
        <f t="shared" si="39"/>
        <v>5898353</v>
      </c>
      <c r="R157" s="57"/>
      <c r="S157" s="57"/>
      <c r="T157" s="56"/>
    </row>
    <row r="158" spans="1:20" s="4" customFormat="1" ht="52.5" customHeight="1">
      <c r="A158" s="78" t="s">
        <v>157</v>
      </c>
      <c r="B158" s="78" t="s">
        <v>330</v>
      </c>
      <c r="C158" s="78" t="s">
        <v>59</v>
      </c>
      <c r="D158" s="25" t="s">
        <v>158</v>
      </c>
      <c r="E158" s="30" t="s">
        <v>41</v>
      </c>
      <c r="F158" s="89">
        <f t="shared" si="44"/>
        <v>42206524</v>
      </c>
      <c r="G158" s="89">
        <f>1546000+7750000+9002000+250000+514000+50000+39600-65000+98000+54000+192000+98000+1000000+1093600+151000+400000+15250+1263000+98000+51625-924000+720000-51625-99000-20000+20000-700000-2000000</f>
        <v>20546450</v>
      </c>
      <c r="H158" s="90"/>
      <c r="I158" s="90">
        <f>9002000-924000-99000-20000</f>
        <v>7959000</v>
      </c>
      <c r="J158" s="90">
        <f>2041773+11344534+768643+1500000+2300000+479500+1500000+1673999+51625</f>
        <v>21660074</v>
      </c>
      <c r="K158" s="89">
        <f t="shared" si="51"/>
        <v>222986.12</v>
      </c>
      <c r="L158" s="89">
        <f>147000+65000+253000+44500-290000</f>
        <v>219500</v>
      </c>
      <c r="M158" s="90">
        <v>3486.12</v>
      </c>
      <c r="N158" s="89"/>
      <c r="O158" s="90"/>
      <c r="P158" s="90">
        <f>L158</f>
        <v>219500</v>
      </c>
      <c r="Q158" s="89">
        <f t="shared" si="39"/>
        <v>42429510.119999997</v>
      </c>
      <c r="R158" s="57"/>
      <c r="S158" s="57"/>
      <c r="T158" s="56"/>
    </row>
    <row r="159" spans="1:20" s="4" customFormat="1" ht="222" customHeight="1">
      <c r="A159" s="78" t="s">
        <v>498</v>
      </c>
      <c r="B159" s="78" t="s">
        <v>499</v>
      </c>
      <c r="C159" s="78" t="s">
        <v>501</v>
      </c>
      <c r="D159" s="25" t="s">
        <v>500</v>
      </c>
      <c r="E159" s="38"/>
      <c r="F159" s="89">
        <f t="shared" si="44"/>
        <v>3000000</v>
      </c>
      <c r="G159" s="89"/>
      <c r="H159" s="90"/>
      <c r="I159" s="90"/>
      <c r="J159" s="90">
        <f>1000000+2000000</f>
        <v>3000000</v>
      </c>
      <c r="K159" s="89">
        <f t="shared" si="51"/>
        <v>0</v>
      </c>
      <c r="L159" s="89"/>
      <c r="M159" s="90"/>
      <c r="N159" s="89"/>
      <c r="O159" s="90"/>
      <c r="P159" s="90"/>
      <c r="Q159" s="89">
        <f t="shared" si="39"/>
        <v>3000000</v>
      </c>
      <c r="R159" s="57"/>
      <c r="S159" s="57"/>
      <c r="T159" s="56"/>
    </row>
    <row r="160" spans="1:20" s="4" customFormat="1" ht="117" customHeight="1">
      <c r="A160" s="78" t="s">
        <v>495</v>
      </c>
      <c r="B160" s="78" t="s">
        <v>496</v>
      </c>
      <c r="C160" s="78" t="s">
        <v>246</v>
      </c>
      <c r="D160" s="47" t="s">
        <v>497</v>
      </c>
      <c r="E160" s="38" t="s">
        <v>13</v>
      </c>
      <c r="F160" s="89">
        <f t="shared" si="44"/>
        <v>20757</v>
      </c>
      <c r="G160" s="89">
        <f>20757</f>
        <v>20757</v>
      </c>
      <c r="H160" s="90"/>
      <c r="I160" s="90"/>
      <c r="J160" s="90"/>
      <c r="K160" s="89">
        <f t="shared" si="51"/>
        <v>0</v>
      </c>
      <c r="L160" s="89"/>
      <c r="M160" s="90"/>
      <c r="N160" s="89"/>
      <c r="O160" s="90"/>
      <c r="P160" s="90"/>
      <c r="Q160" s="89">
        <f t="shared" si="39"/>
        <v>20757</v>
      </c>
      <c r="R160" s="57"/>
      <c r="S160" s="57"/>
      <c r="T160" s="56"/>
    </row>
    <row r="161" spans="1:20" s="4" customFormat="1" ht="52.5" customHeight="1">
      <c r="A161" s="78" t="s">
        <v>213</v>
      </c>
      <c r="B161" s="78" t="s">
        <v>331</v>
      </c>
      <c r="C161" s="78" t="s">
        <v>73</v>
      </c>
      <c r="D161" s="34" t="s">
        <v>424</v>
      </c>
      <c r="E161" s="38"/>
      <c r="F161" s="89">
        <f t="shared" si="44"/>
        <v>0</v>
      </c>
      <c r="G161" s="89">
        <f>250000-98000-152000</f>
        <v>0</v>
      </c>
      <c r="H161" s="90"/>
      <c r="I161" s="90"/>
      <c r="J161" s="90"/>
      <c r="K161" s="89">
        <f t="shared" si="51"/>
        <v>0</v>
      </c>
      <c r="L161" s="89">
        <v>0</v>
      </c>
      <c r="M161" s="90"/>
      <c r="N161" s="89"/>
      <c r="O161" s="90"/>
      <c r="P161" s="90">
        <f>L161</f>
        <v>0</v>
      </c>
      <c r="Q161" s="89">
        <f t="shared" si="39"/>
        <v>0</v>
      </c>
      <c r="R161" s="57"/>
      <c r="S161" s="57"/>
      <c r="T161" s="56"/>
    </row>
    <row r="162" spans="1:20" s="4" customFormat="1" ht="31.9" hidden="1" customHeight="1">
      <c r="A162" s="78" t="s">
        <v>159</v>
      </c>
      <c r="B162" s="78" t="s">
        <v>332</v>
      </c>
      <c r="C162" s="78" t="s">
        <v>73</v>
      </c>
      <c r="D162" s="25" t="s">
        <v>160</v>
      </c>
      <c r="E162" s="30" t="s">
        <v>14</v>
      </c>
      <c r="F162" s="89">
        <f t="shared" si="44"/>
        <v>0</v>
      </c>
      <c r="G162" s="89"/>
      <c r="H162" s="90"/>
      <c r="I162" s="90"/>
      <c r="J162" s="90"/>
      <c r="K162" s="89">
        <f t="shared" si="51"/>
        <v>0</v>
      </c>
      <c r="L162" s="89"/>
      <c r="M162" s="90"/>
      <c r="N162" s="89"/>
      <c r="O162" s="90"/>
      <c r="P162" s="90">
        <f t="shared" ref="P162:P165" si="53">L162</f>
        <v>0</v>
      </c>
      <c r="Q162" s="89">
        <f t="shared" si="39"/>
        <v>0</v>
      </c>
      <c r="R162" s="57"/>
      <c r="S162" s="57"/>
      <c r="T162" s="56"/>
    </row>
    <row r="163" spans="1:20" s="4" customFormat="1" ht="48.75" hidden="1" customHeight="1">
      <c r="A163" s="78" t="s">
        <v>220</v>
      </c>
      <c r="B163" s="78" t="s">
        <v>333</v>
      </c>
      <c r="C163" s="78" t="s">
        <v>170</v>
      </c>
      <c r="D163" s="34" t="s">
        <v>221</v>
      </c>
      <c r="E163" s="30"/>
      <c r="F163" s="89">
        <f t="shared" si="44"/>
        <v>0</v>
      </c>
      <c r="G163" s="89"/>
      <c r="H163" s="90"/>
      <c r="I163" s="90"/>
      <c r="J163" s="90"/>
      <c r="K163" s="89">
        <f t="shared" si="51"/>
        <v>0</v>
      </c>
      <c r="L163" s="89"/>
      <c r="M163" s="90"/>
      <c r="N163" s="89"/>
      <c r="O163" s="90"/>
      <c r="P163" s="90">
        <f t="shared" si="53"/>
        <v>0</v>
      </c>
      <c r="Q163" s="89">
        <f t="shared" si="39"/>
        <v>0</v>
      </c>
      <c r="R163" s="57"/>
      <c r="S163" s="57"/>
      <c r="T163" s="56"/>
    </row>
    <row r="164" spans="1:20" s="4" customFormat="1" ht="48.75" hidden="1" customHeight="1">
      <c r="A164" s="78" t="s">
        <v>253</v>
      </c>
      <c r="B164" s="78" t="s">
        <v>334</v>
      </c>
      <c r="C164" s="78" t="s">
        <v>170</v>
      </c>
      <c r="D164" s="34" t="s">
        <v>254</v>
      </c>
      <c r="E164" s="30"/>
      <c r="F164" s="89">
        <f t="shared" si="44"/>
        <v>0</v>
      </c>
      <c r="G164" s="89"/>
      <c r="H164" s="90"/>
      <c r="I164" s="90"/>
      <c r="J164" s="90"/>
      <c r="K164" s="89">
        <f t="shared" si="51"/>
        <v>0</v>
      </c>
      <c r="L164" s="89"/>
      <c r="M164" s="90"/>
      <c r="N164" s="89"/>
      <c r="O164" s="90"/>
      <c r="P164" s="90">
        <f t="shared" si="53"/>
        <v>0</v>
      </c>
      <c r="Q164" s="89">
        <f t="shared" si="39"/>
        <v>0</v>
      </c>
      <c r="R164" s="57"/>
      <c r="S164" s="57"/>
      <c r="T164" s="56"/>
    </row>
    <row r="165" spans="1:20" s="4" customFormat="1" ht="48.75" hidden="1" customHeight="1">
      <c r="A165" s="78" t="s">
        <v>223</v>
      </c>
      <c r="B165" s="78" t="s">
        <v>281</v>
      </c>
      <c r="C165" s="78" t="s">
        <v>170</v>
      </c>
      <c r="D165" s="34" t="s">
        <v>224</v>
      </c>
      <c r="E165" s="30"/>
      <c r="F165" s="89">
        <f t="shared" si="44"/>
        <v>0</v>
      </c>
      <c r="G165" s="89"/>
      <c r="H165" s="90"/>
      <c r="I165" s="90"/>
      <c r="J165" s="90"/>
      <c r="K165" s="89">
        <f t="shared" si="51"/>
        <v>0</v>
      </c>
      <c r="L165" s="89"/>
      <c r="M165" s="90"/>
      <c r="N165" s="89"/>
      <c r="O165" s="90"/>
      <c r="P165" s="90">
        <f t="shared" si="53"/>
        <v>0</v>
      </c>
      <c r="Q165" s="89">
        <f t="shared" si="39"/>
        <v>0</v>
      </c>
      <c r="R165" s="57"/>
      <c r="S165" s="57"/>
      <c r="T165" s="56"/>
    </row>
    <row r="166" spans="1:20" s="4" customFormat="1" ht="54" customHeight="1">
      <c r="A166" s="78" t="s">
        <v>520</v>
      </c>
      <c r="B166" s="78" t="s">
        <v>521</v>
      </c>
      <c r="C166" s="78" t="s">
        <v>170</v>
      </c>
      <c r="D166" s="34" t="s">
        <v>522</v>
      </c>
      <c r="E166" s="30"/>
      <c r="F166" s="89">
        <f t="shared" si="44"/>
        <v>0</v>
      </c>
      <c r="G166" s="89"/>
      <c r="H166" s="90"/>
      <c r="I166" s="90"/>
      <c r="J166" s="90"/>
      <c r="K166" s="89">
        <f t="shared" si="51"/>
        <v>6400000</v>
      </c>
      <c r="L166" s="89">
        <f>2021190-2021190</f>
        <v>0</v>
      </c>
      <c r="M166" s="90"/>
      <c r="N166" s="89"/>
      <c r="O166" s="90"/>
      <c r="P166" s="90">
        <f>L166+6400000</f>
        <v>6400000</v>
      </c>
      <c r="Q166" s="89">
        <f t="shared" si="39"/>
        <v>6400000</v>
      </c>
      <c r="R166" s="57"/>
      <c r="S166" s="57"/>
      <c r="T166" s="56"/>
    </row>
    <row r="167" spans="1:20" s="4" customFormat="1" ht="78" customHeight="1">
      <c r="A167" s="78" t="s">
        <v>219</v>
      </c>
      <c r="B167" s="78" t="s">
        <v>335</v>
      </c>
      <c r="C167" s="78" t="s">
        <v>210</v>
      </c>
      <c r="D167" s="47" t="s">
        <v>218</v>
      </c>
      <c r="E167" s="30"/>
      <c r="F167" s="89">
        <f t="shared" si="44"/>
        <v>55800050</v>
      </c>
      <c r="G167" s="89">
        <f>51498050+98000+4500000+3000000+1500000+204000-5000000</f>
        <v>55800050</v>
      </c>
      <c r="H167" s="90"/>
      <c r="I167" s="90"/>
      <c r="J167" s="90"/>
      <c r="K167" s="89">
        <f t="shared" si="51"/>
        <v>200640.62</v>
      </c>
      <c r="L167" s="89">
        <f>1910000+90000-1800000</f>
        <v>200000</v>
      </c>
      <c r="M167" s="90">
        <v>640.62</v>
      </c>
      <c r="N167" s="89"/>
      <c r="O167" s="90"/>
      <c r="P167" s="90">
        <f t="shared" ref="P167:P170" si="54">L167</f>
        <v>200000</v>
      </c>
      <c r="Q167" s="89">
        <f t="shared" si="39"/>
        <v>56000690.619999997</v>
      </c>
      <c r="R167" s="57"/>
      <c r="S167" s="57"/>
      <c r="T167" s="56"/>
    </row>
    <row r="168" spans="1:20" s="4" customFormat="1" ht="50.45" customHeight="1">
      <c r="A168" s="78" t="s">
        <v>354</v>
      </c>
      <c r="B168" s="78" t="s">
        <v>343</v>
      </c>
      <c r="C168" s="78" t="s">
        <v>344</v>
      </c>
      <c r="D168" s="25" t="s">
        <v>345</v>
      </c>
      <c r="E168" s="30"/>
      <c r="F168" s="89">
        <f t="shared" si="44"/>
        <v>50000</v>
      </c>
      <c r="G168" s="89">
        <f>50000</f>
        <v>50000</v>
      </c>
      <c r="H168" s="90"/>
      <c r="I168" s="90"/>
      <c r="J168" s="90"/>
      <c r="K168" s="89">
        <f t="shared" si="51"/>
        <v>0</v>
      </c>
      <c r="L168" s="92"/>
      <c r="M168" s="92"/>
      <c r="N168" s="92"/>
      <c r="O168" s="93"/>
      <c r="P168" s="93">
        <f t="shared" si="54"/>
        <v>0</v>
      </c>
      <c r="Q168" s="89">
        <f>F168+K168</f>
        <v>50000</v>
      </c>
      <c r="R168" s="57"/>
      <c r="S168" s="57"/>
      <c r="T168" s="56"/>
    </row>
    <row r="169" spans="1:20" s="4" customFormat="1" ht="42" customHeight="1">
      <c r="A169" s="78" t="s">
        <v>355</v>
      </c>
      <c r="B169" s="78" t="s">
        <v>282</v>
      </c>
      <c r="C169" s="78" t="s">
        <v>76</v>
      </c>
      <c r="D169" s="25" t="s">
        <v>110</v>
      </c>
      <c r="E169" s="30"/>
      <c r="F169" s="89">
        <f t="shared" si="44"/>
        <v>125000</v>
      </c>
      <c r="G169" s="89">
        <v>95000</v>
      </c>
      <c r="H169" s="90"/>
      <c r="I169" s="90"/>
      <c r="J169" s="90">
        <f>100000-70000</f>
        <v>30000</v>
      </c>
      <c r="K169" s="89">
        <f t="shared" si="51"/>
        <v>461000</v>
      </c>
      <c r="L169" s="89">
        <v>461000</v>
      </c>
      <c r="M169" s="90"/>
      <c r="N169" s="89"/>
      <c r="O169" s="90"/>
      <c r="P169" s="90">
        <f t="shared" si="54"/>
        <v>461000</v>
      </c>
      <c r="Q169" s="89">
        <f t="shared" si="39"/>
        <v>586000</v>
      </c>
      <c r="R169" s="57"/>
      <c r="S169" s="57"/>
      <c r="T169" s="56"/>
    </row>
    <row r="170" spans="1:20" s="4" customFormat="1" ht="55.9" customHeight="1">
      <c r="A170" s="78" t="s">
        <v>207</v>
      </c>
      <c r="B170" s="78" t="s">
        <v>283</v>
      </c>
      <c r="C170" s="78" t="s">
        <v>170</v>
      </c>
      <c r="D170" s="25" t="s">
        <v>241</v>
      </c>
      <c r="E170" s="30"/>
      <c r="F170" s="89">
        <f t="shared" si="44"/>
        <v>0</v>
      </c>
      <c r="G170" s="89"/>
      <c r="H170" s="90"/>
      <c r="I170" s="90"/>
      <c r="J170" s="90">
        <v>0</v>
      </c>
      <c r="K170" s="89">
        <f>M170+P170</f>
        <v>13673568</v>
      </c>
      <c r="L170" s="89">
        <f>300000+20000+400000+493384+3820741+2879259+4190000+480000+300000+2500000-48000-1661816</f>
        <v>13673568</v>
      </c>
      <c r="M170" s="90"/>
      <c r="N170" s="89"/>
      <c r="O170" s="90"/>
      <c r="P170" s="90">
        <f t="shared" si="54"/>
        <v>13673568</v>
      </c>
      <c r="Q170" s="89">
        <f>F170+K170</f>
        <v>13673568</v>
      </c>
      <c r="R170" s="57"/>
      <c r="S170" s="57"/>
      <c r="T170" s="56"/>
    </row>
    <row r="171" spans="1:20" s="4" customFormat="1" ht="48" customHeight="1">
      <c r="A171" s="78" t="s">
        <v>365</v>
      </c>
      <c r="B171" s="78" t="s">
        <v>366</v>
      </c>
      <c r="C171" s="78" t="s">
        <v>170</v>
      </c>
      <c r="D171" s="25" t="s">
        <v>367</v>
      </c>
      <c r="E171" s="30"/>
      <c r="F171" s="89">
        <f t="shared" si="44"/>
        <v>48000</v>
      </c>
      <c r="G171" s="89"/>
      <c r="H171" s="90"/>
      <c r="I171" s="90"/>
      <c r="J171" s="90">
        <f>48000</f>
        <v>48000</v>
      </c>
      <c r="K171" s="89">
        <f t="shared" ref="K171:K172" si="55">M171+P171</f>
        <v>0</v>
      </c>
      <c r="L171" s="89"/>
      <c r="M171" s="90"/>
      <c r="N171" s="89"/>
      <c r="O171" s="90"/>
      <c r="P171" s="90"/>
      <c r="Q171" s="89">
        <f>F171+K171</f>
        <v>48000</v>
      </c>
      <c r="R171" s="57"/>
      <c r="S171" s="57"/>
      <c r="T171" s="56"/>
    </row>
    <row r="172" spans="1:20" s="4" customFormat="1" ht="95.85" customHeight="1">
      <c r="A172" s="78" t="s">
        <v>435</v>
      </c>
      <c r="B172" s="78" t="s">
        <v>436</v>
      </c>
      <c r="C172" s="78" t="s">
        <v>62</v>
      </c>
      <c r="D172" s="132" t="s">
        <v>437</v>
      </c>
      <c r="E172" s="129"/>
      <c r="F172" s="89">
        <f t="shared" si="44"/>
        <v>0</v>
      </c>
      <c r="G172" s="89"/>
      <c r="H172" s="90"/>
      <c r="I172" s="90"/>
      <c r="J172" s="90"/>
      <c r="K172" s="89">
        <f t="shared" si="55"/>
        <v>4102300.97</v>
      </c>
      <c r="L172" s="89"/>
      <c r="M172" s="90"/>
      <c r="N172" s="89"/>
      <c r="O172" s="90"/>
      <c r="P172" s="90">
        <f>3852300.97+250000</f>
        <v>4102300.97</v>
      </c>
      <c r="Q172" s="89">
        <f>F172+K172</f>
        <v>4102300.97</v>
      </c>
      <c r="R172" s="57"/>
      <c r="S172" s="57"/>
      <c r="T172" s="56"/>
    </row>
    <row r="173" spans="1:20" s="4" customFormat="1" ht="73.349999999999994" customHeight="1">
      <c r="A173" s="81" t="s">
        <v>161</v>
      </c>
      <c r="B173" s="81" t="s">
        <v>285</v>
      </c>
      <c r="C173" s="81" t="s">
        <v>61</v>
      </c>
      <c r="D173" s="43" t="s">
        <v>191</v>
      </c>
      <c r="E173" s="39" t="s">
        <v>35</v>
      </c>
      <c r="F173" s="89">
        <f t="shared" si="44"/>
        <v>14238973</v>
      </c>
      <c r="G173" s="94">
        <f>3095000+1000000+345400+98000+500000+1200000+100000+4000000-199427+1854254+2245746</f>
        <v>14238973</v>
      </c>
      <c r="H173" s="112"/>
      <c r="I173" s="112">
        <v>53000</v>
      </c>
      <c r="J173" s="112"/>
      <c r="K173" s="94">
        <f t="shared" si="51"/>
        <v>6800000</v>
      </c>
      <c r="L173" s="89">
        <f>41900000-5910938+5910938-2879259-5300000-5700000+4000000-4190000-199000-1000000-95000-1962900-2170000-1263000-3480810-4000000-2000000+4000000-8860031</f>
        <v>6800000</v>
      </c>
      <c r="M173" s="90"/>
      <c r="N173" s="89"/>
      <c r="O173" s="90"/>
      <c r="P173" s="90">
        <f>L173</f>
        <v>6800000</v>
      </c>
      <c r="Q173" s="89">
        <f>F173+K173</f>
        <v>21038973</v>
      </c>
      <c r="R173" s="57"/>
      <c r="S173" s="57"/>
      <c r="T173" s="56"/>
    </row>
    <row r="174" spans="1:20" s="4" customFormat="1" ht="62.45" customHeight="1">
      <c r="A174" s="78" t="s">
        <v>431</v>
      </c>
      <c r="B174" s="78" t="s">
        <v>418</v>
      </c>
      <c r="C174" s="78" t="s">
        <v>419</v>
      </c>
      <c r="D174" s="35" t="s">
        <v>420</v>
      </c>
      <c r="E174" s="30"/>
      <c r="F174" s="89">
        <f t="shared" si="44"/>
        <v>645000</v>
      </c>
      <c r="G174" s="92">
        <f>595000+50000</f>
        <v>645000</v>
      </c>
      <c r="H174" s="93"/>
      <c r="I174" s="93"/>
      <c r="J174" s="93"/>
      <c r="K174" s="89">
        <f t="shared" si="51"/>
        <v>0</v>
      </c>
      <c r="L174" s="92"/>
      <c r="M174" s="92"/>
      <c r="N174" s="92"/>
      <c r="O174" s="93"/>
      <c r="P174" s="93"/>
      <c r="Q174" s="89">
        <f t="shared" si="39"/>
        <v>645000</v>
      </c>
      <c r="R174" s="57"/>
      <c r="S174" s="57"/>
      <c r="T174" s="56"/>
    </row>
    <row r="175" spans="1:20" s="4" customFormat="1" ht="62.45" customHeight="1">
      <c r="A175" s="78" t="s">
        <v>168</v>
      </c>
      <c r="B175" s="78" t="s">
        <v>336</v>
      </c>
      <c r="C175" s="78" t="s">
        <v>162</v>
      </c>
      <c r="D175" s="25" t="s">
        <v>169</v>
      </c>
      <c r="E175" s="30" t="s">
        <v>48</v>
      </c>
      <c r="F175" s="89">
        <f t="shared" si="44"/>
        <v>0</v>
      </c>
      <c r="G175" s="89"/>
      <c r="H175" s="90"/>
      <c r="I175" s="90"/>
      <c r="J175" s="90"/>
      <c r="K175" s="89">
        <f t="shared" si="51"/>
        <v>867155.45</v>
      </c>
      <c r="L175" s="89">
        <v>0</v>
      </c>
      <c r="M175" s="90">
        <f>270700+494455.45</f>
        <v>765155.45</v>
      </c>
      <c r="N175" s="89"/>
      <c r="O175" s="90"/>
      <c r="P175" s="90">
        <v>102000</v>
      </c>
      <c r="Q175" s="89">
        <f t="shared" si="39"/>
        <v>867155.45</v>
      </c>
      <c r="R175" s="57"/>
      <c r="S175" s="57"/>
      <c r="T175" s="56"/>
    </row>
    <row r="176" spans="1:20" s="4" customFormat="1" ht="98.25" customHeight="1">
      <c r="A176" s="65" t="s">
        <v>257</v>
      </c>
      <c r="B176" s="75">
        <v>3100000</v>
      </c>
      <c r="C176" s="65"/>
      <c r="D176" s="76" t="s">
        <v>483</v>
      </c>
      <c r="E176" s="69"/>
      <c r="F176" s="111">
        <f t="shared" si="44"/>
        <v>8046350</v>
      </c>
      <c r="G176" s="68">
        <f t="shared" ref="G176:P176" si="56">G177</f>
        <v>8046350</v>
      </c>
      <c r="H176" s="68">
        <f t="shared" si="56"/>
        <v>5141800</v>
      </c>
      <c r="I176" s="68">
        <f t="shared" si="56"/>
        <v>339610</v>
      </c>
      <c r="J176" s="68">
        <f t="shared" si="56"/>
        <v>0</v>
      </c>
      <c r="K176" s="68">
        <f t="shared" si="56"/>
        <v>302300</v>
      </c>
      <c r="L176" s="68">
        <f t="shared" si="56"/>
        <v>302300</v>
      </c>
      <c r="M176" s="68">
        <f t="shared" si="56"/>
        <v>0</v>
      </c>
      <c r="N176" s="68">
        <f t="shared" si="56"/>
        <v>0</v>
      </c>
      <c r="O176" s="68">
        <f t="shared" si="56"/>
        <v>0</v>
      </c>
      <c r="P176" s="68">
        <f t="shared" si="56"/>
        <v>302300</v>
      </c>
      <c r="Q176" s="68">
        <f>F176+K176</f>
        <v>8348650</v>
      </c>
      <c r="R176" s="57"/>
      <c r="S176" s="57"/>
      <c r="T176" s="56"/>
    </row>
    <row r="177" spans="1:20" s="4" customFormat="1" ht="59.1" customHeight="1">
      <c r="A177" s="82" t="s">
        <v>258</v>
      </c>
      <c r="B177" s="87">
        <v>3110000</v>
      </c>
      <c r="C177" s="82"/>
      <c r="D177" s="103" t="str">
        <f>D176</f>
        <v>Управління комунального майна  та земельних відносин міської ради</v>
      </c>
      <c r="E177" s="28"/>
      <c r="F177" s="89">
        <f t="shared" si="44"/>
        <v>8046350</v>
      </c>
      <c r="G177" s="89">
        <f t="shared" ref="G177:P177" si="57">SUM(G178:G183)</f>
        <v>8046350</v>
      </c>
      <c r="H177" s="89">
        <f t="shared" si="57"/>
        <v>5141800</v>
      </c>
      <c r="I177" s="89">
        <f t="shared" si="57"/>
        <v>339610</v>
      </c>
      <c r="J177" s="89">
        <f t="shared" si="57"/>
        <v>0</v>
      </c>
      <c r="K177" s="89">
        <f t="shared" si="57"/>
        <v>302300</v>
      </c>
      <c r="L177" s="89">
        <f t="shared" si="57"/>
        <v>302300</v>
      </c>
      <c r="M177" s="89">
        <f t="shared" si="57"/>
        <v>0</v>
      </c>
      <c r="N177" s="89">
        <f t="shared" si="57"/>
        <v>0</v>
      </c>
      <c r="O177" s="89">
        <f t="shared" si="57"/>
        <v>0</v>
      </c>
      <c r="P177" s="89">
        <f t="shared" si="57"/>
        <v>302300</v>
      </c>
      <c r="Q177" s="89">
        <f t="shared" ref="Q177:Q187" si="58">F177+K177</f>
        <v>8348650</v>
      </c>
      <c r="R177" s="57"/>
      <c r="S177" s="57"/>
      <c r="T177" s="56"/>
    </row>
    <row r="178" spans="1:20" s="4" customFormat="1" ht="73.900000000000006" customHeight="1">
      <c r="A178" s="78" t="s">
        <v>259</v>
      </c>
      <c r="B178" s="78" t="s">
        <v>268</v>
      </c>
      <c r="C178" s="78" t="s">
        <v>53</v>
      </c>
      <c r="D178" s="33" t="s">
        <v>376</v>
      </c>
      <c r="E178" s="30"/>
      <c r="F178" s="89">
        <f t="shared" si="44"/>
        <v>6832350</v>
      </c>
      <c r="G178" s="89">
        <f>4900350+1220000+18000+300000+30000+34000+30000+60000+255000-35000+20000-20000+20000</f>
        <v>6832350</v>
      </c>
      <c r="H178" s="90">
        <f>3703800+1000000+250000+188000</f>
        <v>5141800</v>
      </c>
      <c r="I178" s="90">
        <f>308610+34000+52000-35000-20000</f>
        <v>339610</v>
      </c>
      <c r="J178" s="90"/>
      <c r="K178" s="89">
        <f t="shared" ref="K178:K183" si="59">M178+P178</f>
        <v>105000</v>
      </c>
      <c r="L178" s="89">
        <f>30000-30000+60000+45000</f>
        <v>105000</v>
      </c>
      <c r="M178" s="90"/>
      <c r="N178" s="89"/>
      <c r="O178" s="90"/>
      <c r="P178" s="90">
        <f>L178</f>
        <v>105000</v>
      </c>
      <c r="Q178" s="89">
        <f t="shared" si="58"/>
        <v>6937350</v>
      </c>
      <c r="R178" s="57"/>
      <c r="S178" s="57"/>
      <c r="T178" s="56"/>
    </row>
    <row r="179" spans="1:20" s="4" customFormat="1" ht="47.1" customHeight="1">
      <c r="A179" s="78" t="s">
        <v>260</v>
      </c>
      <c r="B179" s="78" t="s">
        <v>225</v>
      </c>
      <c r="C179" s="78" t="s">
        <v>62</v>
      </c>
      <c r="D179" s="33" t="s">
        <v>109</v>
      </c>
      <c r="E179" s="30"/>
      <c r="F179" s="89">
        <f t="shared" si="44"/>
        <v>813000</v>
      </c>
      <c r="G179" s="89">
        <f>90000+150000+500000+98000-30000-60000+70000-5000</f>
        <v>813000</v>
      </c>
      <c r="H179" s="90"/>
      <c r="I179" s="90"/>
      <c r="J179" s="90"/>
      <c r="K179" s="89">
        <f t="shared" si="59"/>
        <v>0</v>
      </c>
      <c r="L179" s="89"/>
      <c r="M179" s="90"/>
      <c r="N179" s="89"/>
      <c r="O179" s="90"/>
      <c r="P179" s="90"/>
      <c r="Q179" s="89">
        <f t="shared" si="58"/>
        <v>813000</v>
      </c>
      <c r="R179" s="57"/>
      <c r="S179" s="57"/>
      <c r="T179" s="56"/>
    </row>
    <row r="180" spans="1:20" s="4" customFormat="1" ht="36" customHeight="1">
      <c r="A180" s="78" t="s">
        <v>261</v>
      </c>
      <c r="B180" s="78" t="s">
        <v>280</v>
      </c>
      <c r="C180" s="78" t="s">
        <v>60</v>
      </c>
      <c r="D180" s="46" t="s">
        <v>98</v>
      </c>
      <c r="E180" s="30"/>
      <c r="F180" s="89">
        <f t="shared" si="44"/>
        <v>374000</v>
      </c>
      <c r="G180" s="89">
        <f>250000+84000+70000-30000</f>
        <v>374000</v>
      </c>
      <c r="H180" s="90"/>
      <c r="I180" s="90"/>
      <c r="J180" s="90"/>
      <c r="K180" s="89">
        <f t="shared" si="59"/>
        <v>0</v>
      </c>
      <c r="L180" s="89"/>
      <c r="M180" s="90"/>
      <c r="N180" s="89"/>
      <c r="O180" s="90"/>
      <c r="P180" s="90"/>
      <c r="Q180" s="89">
        <f t="shared" si="58"/>
        <v>374000</v>
      </c>
      <c r="R180" s="57"/>
      <c r="S180" s="57"/>
      <c r="T180" s="56"/>
    </row>
    <row r="181" spans="1:20" s="4" customFormat="1" ht="52.35" customHeight="1">
      <c r="A181" s="78" t="s">
        <v>356</v>
      </c>
      <c r="B181" s="78" t="s">
        <v>343</v>
      </c>
      <c r="C181" s="78" t="s">
        <v>344</v>
      </c>
      <c r="D181" s="25" t="s">
        <v>345</v>
      </c>
      <c r="E181" s="30"/>
      <c r="F181" s="89">
        <f t="shared" si="44"/>
        <v>27000</v>
      </c>
      <c r="G181" s="89">
        <f>57000-20000-10000</f>
        <v>27000</v>
      </c>
      <c r="H181" s="90"/>
      <c r="I181" s="90"/>
      <c r="J181" s="90"/>
      <c r="K181" s="89">
        <f>M181+P181</f>
        <v>142000</v>
      </c>
      <c r="L181" s="89">
        <f>46000+96000</f>
        <v>142000</v>
      </c>
      <c r="M181" s="89"/>
      <c r="N181" s="89"/>
      <c r="O181" s="90"/>
      <c r="P181" s="90">
        <f>L181</f>
        <v>142000</v>
      </c>
      <c r="Q181" s="89">
        <f>F181+K181</f>
        <v>169000</v>
      </c>
      <c r="R181" s="57"/>
      <c r="S181" s="57"/>
      <c r="T181" s="56"/>
    </row>
    <row r="182" spans="1:20" s="4" customFormat="1" ht="60.75" customHeight="1">
      <c r="A182" s="78" t="s">
        <v>262</v>
      </c>
      <c r="B182" s="78" t="s">
        <v>337</v>
      </c>
      <c r="C182" s="78" t="s">
        <v>170</v>
      </c>
      <c r="D182" s="35" t="s">
        <v>214</v>
      </c>
      <c r="E182" s="30"/>
      <c r="F182" s="89">
        <f t="shared" si="44"/>
        <v>0</v>
      </c>
      <c r="G182" s="89">
        <v>0</v>
      </c>
      <c r="H182" s="90"/>
      <c r="I182" s="90"/>
      <c r="J182" s="90"/>
      <c r="K182" s="89">
        <f t="shared" si="59"/>
        <v>55300</v>
      </c>
      <c r="L182" s="89">
        <f>5300+5000+45000</f>
        <v>55300</v>
      </c>
      <c r="M182" s="90"/>
      <c r="N182" s="89"/>
      <c r="O182" s="90"/>
      <c r="P182" s="90">
        <f>L182</f>
        <v>55300</v>
      </c>
      <c r="Q182" s="89">
        <f t="shared" si="58"/>
        <v>55300</v>
      </c>
      <c r="R182" s="57"/>
      <c r="S182" s="57"/>
      <c r="T182" s="56"/>
    </row>
    <row r="183" spans="1:20" s="4" customFormat="1" ht="81.75" hidden="1" customHeight="1">
      <c r="A183" s="78" t="s">
        <v>263</v>
      </c>
      <c r="B183" s="78" t="s">
        <v>338</v>
      </c>
      <c r="C183" s="78" t="s">
        <v>170</v>
      </c>
      <c r="D183" s="25" t="s">
        <v>209</v>
      </c>
      <c r="E183" s="3"/>
      <c r="F183" s="89">
        <f t="shared" si="44"/>
        <v>0</v>
      </c>
      <c r="G183" s="89"/>
      <c r="H183" s="90"/>
      <c r="I183" s="90"/>
      <c r="J183" s="90"/>
      <c r="K183" s="89">
        <f t="shared" si="59"/>
        <v>0</v>
      </c>
      <c r="L183" s="89"/>
      <c r="M183" s="90"/>
      <c r="N183" s="89"/>
      <c r="O183" s="90"/>
      <c r="P183" s="90">
        <f>L183</f>
        <v>0</v>
      </c>
      <c r="Q183" s="89">
        <f t="shared" si="58"/>
        <v>0</v>
      </c>
      <c r="R183" s="57"/>
      <c r="S183" s="57"/>
      <c r="T183" s="56"/>
    </row>
    <row r="184" spans="1:20" s="12" customFormat="1" ht="98.25" customHeight="1">
      <c r="A184" s="65" t="s">
        <v>163</v>
      </c>
      <c r="B184" s="77">
        <v>3700000</v>
      </c>
      <c r="C184" s="69"/>
      <c r="D184" s="70" t="s">
        <v>5</v>
      </c>
      <c r="E184" s="69" t="s">
        <v>5</v>
      </c>
      <c r="F184" s="111">
        <f>F185</f>
        <v>35161550</v>
      </c>
      <c r="G184" s="73">
        <f t="shared" ref="G184:P184" si="60">G185</f>
        <v>35161550</v>
      </c>
      <c r="H184" s="73">
        <f t="shared" si="60"/>
        <v>11462050</v>
      </c>
      <c r="I184" s="73">
        <f t="shared" si="60"/>
        <v>144400</v>
      </c>
      <c r="J184" s="73">
        <f t="shared" si="60"/>
        <v>0</v>
      </c>
      <c r="K184" s="68">
        <f t="shared" si="60"/>
        <v>3624350</v>
      </c>
      <c r="L184" s="68">
        <f t="shared" si="60"/>
        <v>3624350</v>
      </c>
      <c r="M184" s="68">
        <f t="shared" si="60"/>
        <v>0</v>
      </c>
      <c r="N184" s="68">
        <f t="shared" si="60"/>
        <v>0</v>
      </c>
      <c r="O184" s="68">
        <f t="shared" si="60"/>
        <v>0</v>
      </c>
      <c r="P184" s="68">
        <f t="shared" si="60"/>
        <v>3624350</v>
      </c>
      <c r="Q184" s="68">
        <f>F184+K184</f>
        <v>38785900</v>
      </c>
      <c r="R184" s="51"/>
      <c r="S184" s="58"/>
      <c r="T184" s="53"/>
    </row>
    <row r="185" spans="1:20" s="12" customFormat="1" ht="60" customHeight="1">
      <c r="A185" s="82" t="s">
        <v>164</v>
      </c>
      <c r="B185" s="88">
        <v>3710000</v>
      </c>
      <c r="C185" s="83"/>
      <c r="D185" s="31" t="str">
        <f>D184</f>
        <v>Фінансове управління міської ради</v>
      </c>
      <c r="E185" s="28"/>
      <c r="F185" s="89">
        <f>SUM(F186:F193)</f>
        <v>35161550</v>
      </c>
      <c r="G185" s="98">
        <f>SUM(G186:G193)</f>
        <v>35161550</v>
      </c>
      <c r="H185" s="98">
        <f t="shared" ref="H185:J185" si="61">SUM(H186:H193)</f>
        <v>11462050</v>
      </c>
      <c r="I185" s="98">
        <f t="shared" si="61"/>
        <v>144400</v>
      </c>
      <c r="J185" s="98">
        <f t="shared" si="61"/>
        <v>0</v>
      </c>
      <c r="K185" s="98">
        <f>SUM(K186:K193)</f>
        <v>3624350</v>
      </c>
      <c r="L185" s="98">
        <f t="shared" ref="L185:P185" si="62">SUM(L186:L193)</f>
        <v>3624350</v>
      </c>
      <c r="M185" s="98">
        <f t="shared" si="62"/>
        <v>0</v>
      </c>
      <c r="N185" s="98">
        <f t="shared" si="62"/>
        <v>0</v>
      </c>
      <c r="O185" s="98">
        <f t="shared" si="62"/>
        <v>0</v>
      </c>
      <c r="P185" s="98">
        <f t="shared" si="62"/>
        <v>3624350</v>
      </c>
      <c r="Q185" s="89">
        <f t="shared" si="58"/>
        <v>38785900</v>
      </c>
      <c r="R185" s="51"/>
      <c r="S185" s="58"/>
      <c r="T185" s="53"/>
    </row>
    <row r="186" spans="1:20" s="4" customFormat="1" ht="74.45" customHeight="1">
      <c r="A186" s="78" t="s">
        <v>165</v>
      </c>
      <c r="B186" s="78" t="s">
        <v>268</v>
      </c>
      <c r="C186" s="78" t="s">
        <v>53</v>
      </c>
      <c r="D186" s="33" t="s">
        <v>376</v>
      </c>
      <c r="E186" s="30" t="s">
        <v>2</v>
      </c>
      <c r="F186" s="89">
        <f t="shared" si="44"/>
        <v>14135950</v>
      </c>
      <c r="G186" s="89">
        <f>8861550+3320000+1631050-237000+302350+244000+31300-17300</f>
        <v>14135950</v>
      </c>
      <c r="H186" s="90">
        <f>6853200+2730000+1345200+302350+200000+31300</f>
        <v>11462050</v>
      </c>
      <c r="I186" s="90">
        <f>197500-50000-1500-1600</f>
        <v>144400</v>
      </c>
      <c r="J186" s="90"/>
      <c r="K186" s="89">
        <f t="shared" ref="K186:K191" si="63">M186+P186</f>
        <v>0</v>
      </c>
      <c r="L186" s="89">
        <f>30000-30000</f>
        <v>0</v>
      </c>
      <c r="M186" s="90"/>
      <c r="N186" s="89"/>
      <c r="O186" s="90"/>
      <c r="P186" s="90">
        <f>L186</f>
        <v>0</v>
      </c>
      <c r="Q186" s="89">
        <f t="shared" si="58"/>
        <v>14135950</v>
      </c>
      <c r="R186" s="57"/>
      <c r="S186" s="57"/>
      <c r="T186" s="56"/>
    </row>
    <row r="187" spans="1:20" s="4" customFormat="1" ht="48.75" customHeight="1">
      <c r="A187" s="78" t="s">
        <v>206</v>
      </c>
      <c r="B187" s="78" t="s">
        <v>225</v>
      </c>
      <c r="C187" s="78" t="s">
        <v>62</v>
      </c>
      <c r="D187" s="33" t="s">
        <v>109</v>
      </c>
      <c r="E187" s="30"/>
      <c r="F187" s="89">
        <f t="shared" ref="F187:F193" si="64">G187+J187</f>
        <v>76900</v>
      </c>
      <c r="G187" s="89">
        <f>90000+10000-11100-12000</f>
        <v>76900</v>
      </c>
      <c r="H187" s="90"/>
      <c r="I187" s="90"/>
      <c r="J187" s="90"/>
      <c r="K187" s="89">
        <f t="shared" si="63"/>
        <v>0</v>
      </c>
      <c r="L187" s="89"/>
      <c r="M187" s="90"/>
      <c r="N187" s="89"/>
      <c r="O187" s="90"/>
      <c r="P187" s="90"/>
      <c r="Q187" s="89">
        <f t="shared" si="58"/>
        <v>76900</v>
      </c>
      <c r="R187" s="57"/>
      <c r="S187" s="57"/>
      <c r="T187" s="56"/>
    </row>
    <row r="188" spans="1:20" s="4" customFormat="1" ht="45" customHeight="1">
      <c r="A188" s="78" t="s">
        <v>357</v>
      </c>
      <c r="B188" s="78" t="s">
        <v>343</v>
      </c>
      <c r="C188" s="78" t="s">
        <v>344</v>
      </c>
      <c r="D188" s="25" t="s">
        <v>345</v>
      </c>
      <c r="E188" s="30"/>
      <c r="F188" s="89">
        <f t="shared" si="64"/>
        <v>112200</v>
      </c>
      <c r="G188" s="89">
        <f>185000-16550-54250-2000</f>
        <v>112200</v>
      </c>
      <c r="H188" s="90"/>
      <c r="I188" s="90"/>
      <c r="J188" s="90"/>
      <c r="K188" s="89">
        <f t="shared" si="63"/>
        <v>124350</v>
      </c>
      <c r="L188" s="89">
        <f>77800+46550</f>
        <v>124350</v>
      </c>
      <c r="M188" s="89"/>
      <c r="N188" s="89"/>
      <c r="O188" s="90"/>
      <c r="P188" s="90">
        <f>L188</f>
        <v>124350</v>
      </c>
      <c r="Q188" s="89">
        <f>F188+K188</f>
        <v>236550</v>
      </c>
      <c r="R188" s="57"/>
      <c r="S188" s="57"/>
      <c r="T188" s="56"/>
    </row>
    <row r="189" spans="1:20" s="4" customFormat="1" ht="47.25" customHeight="1">
      <c r="A189" s="78" t="s">
        <v>406</v>
      </c>
      <c r="B189" s="78" t="s">
        <v>408</v>
      </c>
      <c r="C189" s="78" t="s">
        <v>62</v>
      </c>
      <c r="D189" s="33" t="s">
        <v>409</v>
      </c>
      <c r="E189" s="30"/>
      <c r="F189" s="89">
        <f>17006501+114-12875901-116000-55000-500000+4954174.09-661000-562000-311635-400000-500000-13626-250000-50000-50000-35000-81000-120000-2797855+1271678+8784-1671291-611353-100000-1479590.09</f>
        <v>0</v>
      </c>
      <c r="G189" s="89"/>
      <c r="H189" s="90"/>
      <c r="I189" s="90"/>
      <c r="J189" s="90"/>
      <c r="K189" s="89">
        <f t="shared" si="63"/>
        <v>0</v>
      </c>
      <c r="L189" s="89"/>
      <c r="M189" s="90"/>
      <c r="N189" s="89"/>
      <c r="O189" s="90"/>
      <c r="P189" s="90"/>
      <c r="Q189" s="89">
        <f>F189+K189</f>
        <v>0</v>
      </c>
      <c r="R189" s="57"/>
      <c r="S189" s="57"/>
      <c r="T189" s="56"/>
    </row>
    <row r="190" spans="1:20" s="4" customFormat="1" ht="48.75" hidden="1" customHeight="1">
      <c r="A190" s="78" t="s">
        <v>228</v>
      </c>
      <c r="B190" s="78" t="s">
        <v>339</v>
      </c>
      <c r="C190" s="78" t="s">
        <v>225</v>
      </c>
      <c r="D190" s="33" t="s">
        <v>229</v>
      </c>
      <c r="E190" s="3"/>
      <c r="F190" s="89">
        <f t="shared" si="64"/>
        <v>0</v>
      </c>
      <c r="G190" s="89"/>
      <c r="H190" s="90"/>
      <c r="I190" s="90"/>
      <c r="J190" s="99"/>
      <c r="K190" s="89">
        <f t="shared" si="63"/>
        <v>0</v>
      </c>
      <c r="L190" s="89"/>
      <c r="M190" s="90"/>
      <c r="N190" s="89"/>
      <c r="O190" s="90"/>
      <c r="P190" s="90"/>
      <c r="Q190" s="89">
        <f t="shared" ref="Q190:Q193" si="65">F190+K190</f>
        <v>0</v>
      </c>
      <c r="R190" s="57"/>
      <c r="S190" s="57"/>
      <c r="T190" s="56"/>
    </row>
    <row r="191" spans="1:20" s="4" customFormat="1" ht="41.25" customHeight="1">
      <c r="A191" s="78" t="s">
        <v>421</v>
      </c>
      <c r="B191" s="78" t="s">
        <v>422</v>
      </c>
      <c r="C191" s="78" t="s">
        <v>225</v>
      </c>
      <c r="D191" s="33" t="s">
        <v>423</v>
      </c>
      <c r="E191" s="3"/>
      <c r="F191" s="89">
        <f t="shared" si="64"/>
        <v>12196500</v>
      </c>
      <c r="G191" s="89">
        <v>12196500</v>
      </c>
      <c r="H191" s="90"/>
      <c r="I191" s="90"/>
      <c r="J191" s="90"/>
      <c r="K191" s="89">
        <f t="shared" si="63"/>
        <v>0</v>
      </c>
      <c r="L191" s="89"/>
      <c r="M191" s="90"/>
      <c r="N191" s="89"/>
      <c r="O191" s="90"/>
      <c r="P191" s="90"/>
      <c r="Q191" s="89">
        <f t="shared" si="65"/>
        <v>12196500</v>
      </c>
      <c r="R191" s="57"/>
      <c r="S191" s="57"/>
      <c r="T191" s="56"/>
    </row>
    <row r="192" spans="1:20" s="4" customFormat="1" ht="51" customHeight="1">
      <c r="A192" s="78" t="s">
        <v>228</v>
      </c>
      <c r="B192" s="78" t="s">
        <v>339</v>
      </c>
      <c r="C192" s="78" t="s">
        <v>225</v>
      </c>
      <c r="D192" s="33" t="s">
        <v>430</v>
      </c>
      <c r="E192" s="3"/>
      <c r="F192" s="89">
        <f t="shared" si="64"/>
        <v>230000</v>
      </c>
      <c r="G192" s="89">
        <f>120000+110000</f>
        <v>230000</v>
      </c>
      <c r="H192" s="90"/>
      <c r="I192" s="90"/>
      <c r="J192" s="90"/>
      <c r="K192" s="89">
        <v>0</v>
      </c>
      <c r="L192" s="89"/>
      <c r="M192" s="90"/>
      <c r="N192" s="89"/>
      <c r="O192" s="90"/>
      <c r="P192" s="90"/>
      <c r="Q192" s="89">
        <f t="shared" si="65"/>
        <v>230000</v>
      </c>
      <c r="R192" s="57"/>
      <c r="S192" s="57"/>
      <c r="T192" s="56"/>
    </row>
    <row r="193" spans="1:20" s="4" customFormat="1" ht="76.5" customHeight="1">
      <c r="A193" s="78" t="s">
        <v>428</v>
      </c>
      <c r="B193" s="78" t="s">
        <v>429</v>
      </c>
      <c r="C193" s="78" t="s">
        <v>225</v>
      </c>
      <c r="D193" s="33" t="s">
        <v>427</v>
      </c>
      <c r="E193" s="3"/>
      <c r="F193" s="89">
        <f t="shared" si="64"/>
        <v>8410000</v>
      </c>
      <c r="G193" s="89">
        <f>200000+100000+1000000+5000000+250000+1000000+500000+100000+60000+200000</f>
        <v>8410000</v>
      </c>
      <c r="H193" s="90"/>
      <c r="I193" s="90"/>
      <c r="J193" s="90">
        <f>1550000-1550000</f>
        <v>0</v>
      </c>
      <c r="K193" s="89">
        <f>L193</f>
        <v>3500000</v>
      </c>
      <c r="L193" s="89">
        <f>1550000-500000+250000+60000+2000000+140000</f>
        <v>3500000</v>
      </c>
      <c r="M193" s="90"/>
      <c r="N193" s="89"/>
      <c r="O193" s="90"/>
      <c r="P193" s="90">
        <f>L193</f>
        <v>3500000</v>
      </c>
      <c r="Q193" s="89">
        <f t="shared" si="65"/>
        <v>11910000</v>
      </c>
      <c r="R193" s="57"/>
      <c r="S193" s="57"/>
      <c r="T193" s="56"/>
    </row>
    <row r="194" spans="1:20" s="6" customFormat="1" ht="90" customHeight="1">
      <c r="A194" s="107"/>
      <c r="B194" s="107" t="s">
        <v>438</v>
      </c>
      <c r="C194" s="107"/>
      <c r="D194" s="108" t="s">
        <v>166</v>
      </c>
      <c r="E194" s="107" t="s">
        <v>12</v>
      </c>
      <c r="F194" s="89">
        <f>F12+F42+F78+F118+F131+F144+F176+F184</f>
        <v>849805337</v>
      </c>
      <c r="G194" s="89">
        <f>G12+G42+G118+G131+G144+G184+G78+G176</f>
        <v>817782510</v>
      </c>
      <c r="H194" s="89">
        <f>H12+H42+H118+H131+H144+H184+H78+H176</f>
        <v>396788821</v>
      </c>
      <c r="I194" s="89">
        <f>I12+I42+I118+I131+I144+I184+I78+I176</f>
        <v>58815597</v>
      </c>
      <c r="J194" s="89">
        <f>J12+J42+J118+J131+J144+J184+J78</f>
        <v>32022827</v>
      </c>
      <c r="K194" s="89">
        <f>M194+P194</f>
        <v>176691534.27999997</v>
      </c>
      <c r="L194" s="89">
        <f>L12+L42+L118+L131+L144+L184+L78+L176</f>
        <v>130428756.00999999</v>
      </c>
      <c r="M194" s="89">
        <f>M12+M42+M118+M131+M144+M184+M78+M176</f>
        <v>35583477.299999997</v>
      </c>
      <c r="N194" s="89">
        <f>N12+N42+N118+N131+N144+N184+N78</f>
        <v>1156000</v>
      </c>
      <c r="O194" s="89">
        <f>O12+O42+O118+O131+O144+O184+O78</f>
        <v>284800</v>
      </c>
      <c r="P194" s="89">
        <f>P12+P42+P118+P131+P144+P184+P78+P176</f>
        <v>141108056.97999999</v>
      </c>
      <c r="Q194" s="89">
        <f>F194+K194</f>
        <v>1026496871.28</v>
      </c>
      <c r="R194" s="61"/>
      <c r="S194" s="62"/>
      <c r="T194" s="63"/>
    </row>
    <row r="195" spans="1:20" s="6" customFormat="1" ht="63" customHeight="1">
      <c r="A195" s="134" t="s">
        <v>452</v>
      </c>
      <c r="B195" s="134"/>
      <c r="C195" s="134"/>
      <c r="D195" s="134"/>
      <c r="E195" s="134"/>
      <c r="F195" s="134"/>
      <c r="G195" s="134"/>
      <c r="H195" s="134"/>
      <c r="I195" s="134"/>
      <c r="J195" s="134"/>
      <c r="K195" s="134"/>
      <c r="L195" s="134"/>
      <c r="M195" s="134"/>
      <c r="N195" s="134"/>
      <c r="O195" s="134"/>
      <c r="P195" s="134"/>
      <c r="Q195" s="134"/>
      <c r="R195" s="23"/>
      <c r="S195" s="24"/>
      <c r="T195" s="7"/>
    </row>
    <row r="196" spans="1:20" s="6" customFormat="1" ht="57.2" customHeight="1">
      <c r="A196" s="105"/>
      <c r="B196" s="105"/>
      <c r="C196" s="105"/>
      <c r="D196" s="105"/>
      <c r="E196" s="105"/>
      <c r="F196" s="105"/>
      <c r="G196" s="106"/>
      <c r="H196" s="106"/>
      <c r="I196" s="106"/>
      <c r="J196" s="106"/>
      <c r="K196" s="106"/>
      <c r="L196" s="106"/>
      <c r="M196" s="106"/>
      <c r="N196" s="106"/>
      <c r="O196" s="106"/>
      <c r="P196" s="106"/>
      <c r="Q196" s="106"/>
      <c r="T196" s="7"/>
    </row>
    <row r="197" spans="1:20" s="14" customFormat="1" ht="21.75" customHeight="1">
      <c r="A197" s="105"/>
      <c r="B197" s="105"/>
      <c r="C197" s="105"/>
      <c r="D197" s="105"/>
      <c r="E197" s="105"/>
      <c r="F197" s="105"/>
      <c r="G197" s="106"/>
      <c r="H197" s="106"/>
      <c r="I197" s="106"/>
      <c r="J197" s="106"/>
      <c r="K197" s="106"/>
      <c r="L197" s="106"/>
      <c r="M197" s="106"/>
      <c r="N197" s="106"/>
      <c r="O197" s="106"/>
      <c r="P197" s="106"/>
      <c r="Q197" s="106"/>
      <c r="T197" s="15"/>
    </row>
    <row r="200" spans="1:20" ht="24.75" customHeight="1">
      <c r="F200" s="118"/>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195:Q195"/>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4" manualBreakCount="4">
    <brk id="41" max="16" man="1"/>
    <brk id="63" max="16" man="1"/>
    <brk id="88" max="16" man="1"/>
    <brk id="12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2025-12-17T08:02:17Z</cp:lastPrinted>
  <dcterms:created xsi:type="dcterms:W3CDTF">2002-10-09T16:25:59Z</dcterms:created>
  <dcterms:modified xsi:type="dcterms:W3CDTF">2025-12-24T12:24:31Z</dcterms:modified>
</cp:coreProperties>
</file>